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projects\InternalSystem\web\"/>
    </mc:Choice>
  </mc:AlternateContent>
  <workbookProtection workbookPassword="CC71" lockStructure="1"/>
  <bookViews>
    <workbookView xWindow="0" yWindow="0" windowWidth="15525" windowHeight="6240" activeTab="1"/>
  </bookViews>
  <sheets>
    <sheet name="InstructionsForm1A" sheetId="4" r:id="rId1"/>
    <sheet name="Jul" sheetId="1" r:id="rId2"/>
  </sheets>
  <definedNames>
    <definedName name="_xlnm._FilterDatabase" localSheetId="0" hidden="1">InstructionsForm1A!$B$2:$F$381</definedName>
    <definedName name="ART">Jul!$D$347</definedName>
    <definedName name="CXCA">Jul!$M$211</definedName>
    <definedName name="GEND_GBV">Jul!$D$274</definedName>
    <definedName name="HAART">Jul!$K$328</definedName>
    <definedName name="HIV_TEST">Jul!$F$22</definedName>
    <definedName name="HTS_SELF">Jul!$J$111</definedName>
    <definedName name="IPT">Jul!$D$182</definedName>
    <definedName name="PMTCT_TST">Jul!$K$292</definedName>
    <definedName name="PREP">Jul!$J$124</definedName>
    <definedName name="_xlnm.Print_Area" localSheetId="0">InstructionsForm1A!$B$1:$F$381</definedName>
    <definedName name="_xlnm.Print_Area" localSheetId="1">Jul!$A$1:$AJ$503</definedName>
    <definedName name="_xlnm.Print_Titles" localSheetId="1">Jul!$1:$6</definedName>
    <definedName name="TB">Jul!$D$422</definedName>
  </definedNames>
  <calcPr calcId="162913"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K493" i="1" l="1"/>
  <c r="AK443" i="1"/>
  <c r="AK438" i="1"/>
  <c r="AC354" i="1" l="1"/>
  <c r="AD354" i="1"/>
  <c r="AE354" i="1"/>
  <c r="AF354" i="1"/>
  <c r="AG354" i="1"/>
  <c r="AH354" i="1"/>
  <c r="AI354" i="1"/>
  <c r="AB354" i="1"/>
  <c r="E354" i="1"/>
  <c r="F354" i="1"/>
  <c r="G354" i="1"/>
  <c r="H354" i="1"/>
  <c r="I354" i="1"/>
  <c r="J354" i="1"/>
  <c r="K354" i="1"/>
  <c r="L354" i="1"/>
  <c r="M354" i="1"/>
  <c r="N354" i="1"/>
  <c r="O354" i="1"/>
  <c r="P354" i="1"/>
  <c r="Q354" i="1"/>
  <c r="R354" i="1"/>
  <c r="S354" i="1"/>
  <c r="T354" i="1"/>
  <c r="U354" i="1"/>
  <c r="V354" i="1"/>
  <c r="W354" i="1"/>
  <c r="X354" i="1"/>
  <c r="Y354" i="1"/>
  <c r="Z486" i="1" l="1"/>
  <c r="AA489" i="1"/>
  <c r="AA36" i="1"/>
  <c r="AA215" i="1"/>
  <c r="AA216" i="1"/>
  <c r="AA217" i="1"/>
  <c r="AA218" i="1"/>
  <c r="AA219" i="1"/>
  <c r="AA220" i="1"/>
  <c r="AA221" i="1"/>
  <c r="AA222" i="1"/>
  <c r="AA223" i="1"/>
  <c r="AA224" i="1"/>
  <c r="AA225" i="1"/>
  <c r="AA226" i="1"/>
  <c r="AA227" i="1"/>
  <c r="AA228" i="1"/>
  <c r="AA229" i="1"/>
  <c r="AA230" i="1"/>
  <c r="AA231" i="1"/>
  <c r="AA232" i="1"/>
  <c r="AA233" i="1"/>
  <c r="AA234" i="1"/>
  <c r="Z385" i="1"/>
  <c r="AA385" i="1"/>
  <c r="Z386" i="1"/>
  <c r="AA386" i="1"/>
  <c r="Z387" i="1"/>
  <c r="AA387" i="1"/>
  <c r="AL124" i="1" l="1"/>
  <c r="AK385" i="1" l="1"/>
  <c r="AK173" i="1"/>
  <c r="Z379" i="1"/>
  <c r="AA379" i="1"/>
  <c r="AB379" i="1"/>
  <c r="AC379" i="1"/>
  <c r="AD379" i="1"/>
  <c r="AE379" i="1"/>
  <c r="AF379" i="1"/>
  <c r="AG379" i="1"/>
  <c r="AH379" i="1"/>
  <c r="AI379" i="1"/>
  <c r="E379" i="1"/>
  <c r="F379" i="1"/>
  <c r="G379" i="1"/>
  <c r="H379" i="1"/>
  <c r="I379" i="1"/>
  <c r="J379" i="1"/>
  <c r="K379" i="1"/>
  <c r="L379" i="1"/>
  <c r="M379" i="1"/>
  <c r="N379" i="1"/>
  <c r="O379" i="1"/>
  <c r="P379" i="1"/>
  <c r="Q379" i="1"/>
  <c r="R379" i="1"/>
  <c r="S379" i="1"/>
  <c r="T379" i="1"/>
  <c r="U379" i="1"/>
  <c r="V379" i="1"/>
  <c r="W379" i="1"/>
  <c r="X379" i="1"/>
  <c r="Y379" i="1"/>
  <c r="Z354" i="1"/>
  <c r="AK354" i="1" s="1"/>
  <c r="AA354" i="1"/>
  <c r="AA355" i="1"/>
  <c r="D354" i="1"/>
  <c r="AK346" i="1"/>
  <c r="AK176" i="1"/>
  <c r="AK142" i="1"/>
  <c r="AK171" i="1"/>
  <c r="AK145" i="1"/>
  <c r="L128" i="1"/>
  <c r="M128" i="1"/>
  <c r="N128" i="1"/>
  <c r="O128" i="1"/>
  <c r="P128" i="1"/>
  <c r="Q128" i="1"/>
  <c r="R128" i="1"/>
  <c r="S128" i="1"/>
  <c r="T128" i="1"/>
  <c r="U128" i="1"/>
  <c r="V128" i="1"/>
  <c r="W128" i="1"/>
  <c r="X128" i="1"/>
  <c r="Y128" i="1"/>
  <c r="Z128" i="1"/>
  <c r="AA128" i="1"/>
  <c r="J128" i="1"/>
  <c r="AK140" i="1"/>
  <c r="AK127" i="1"/>
  <c r="J112" i="1"/>
  <c r="AL346" i="1" l="1"/>
  <c r="AJ355" i="1"/>
  <c r="AJ115" i="1"/>
  <c r="AJ116" i="1"/>
  <c r="AJ117" i="1"/>
  <c r="AJ138" i="1"/>
  <c r="AJ139" i="1"/>
  <c r="AJ140" i="1"/>
  <c r="AJ141" i="1"/>
  <c r="AJ142" i="1"/>
  <c r="AJ143" i="1"/>
  <c r="AJ144" i="1"/>
  <c r="AJ145" i="1"/>
  <c r="AJ160" i="1"/>
  <c r="AJ161" i="1"/>
  <c r="AJ162" i="1"/>
  <c r="AJ163" i="1"/>
  <c r="AJ164" i="1"/>
  <c r="AJ165" i="1"/>
  <c r="AJ166" i="1"/>
  <c r="AJ167" i="1"/>
  <c r="AJ168" i="1"/>
  <c r="AJ169" i="1"/>
  <c r="AJ170" i="1"/>
  <c r="AJ171" i="1"/>
  <c r="AJ172" i="1"/>
  <c r="AJ173" i="1"/>
  <c r="AJ174" i="1"/>
  <c r="AJ175" i="1"/>
  <c r="AJ176" i="1"/>
  <c r="AJ385" i="1" l="1"/>
  <c r="AJ386" i="1"/>
  <c r="AJ387" i="1"/>
  <c r="AA357" i="1"/>
  <c r="Z357" i="1"/>
  <c r="AJ357" i="1" s="1"/>
  <c r="AA356" i="1"/>
  <c r="Z356" i="1"/>
  <c r="Z355" i="1"/>
  <c r="AJ356" i="1" l="1"/>
  <c r="AH427" i="1" l="1"/>
  <c r="AD427" i="1"/>
  <c r="AE427" i="1"/>
  <c r="AF427" i="1"/>
  <c r="AG427" i="1"/>
  <c r="AI427" i="1"/>
  <c r="AC427" i="1"/>
  <c r="AB427" i="1"/>
  <c r="G427" i="1"/>
  <c r="H427" i="1"/>
  <c r="I427" i="1"/>
  <c r="J427" i="1"/>
  <c r="K427" i="1"/>
  <c r="L427" i="1"/>
  <c r="M427" i="1"/>
  <c r="N427" i="1"/>
  <c r="O427" i="1"/>
  <c r="P427" i="1"/>
  <c r="Q427" i="1"/>
  <c r="R427" i="1"/>
  <c r="S427" i="1"/>
  <c r="T427" i="1"/>
  <c r="U427" i="1"/>
  <c r="V427" i="1"/>
  <c r="W427" i="1"/>
  <c r="X427" i="1"/>
  <c r="Y427" i="1"/>
  <c r="D427" i="1"/>
  <c r="E427" i="1"/>
  <c r="F427" i="1"/>
  <c r="F425" i="1"/>
  <c r="AA137" i="1" l="1"/>
  <c r="Y137" i="1"/>
  <c r="W137" i="1"/>
  <c r="U137" i="1"/>
  <c r="S137" i="1"/>
  <c r="Q137" i="1"/>
  <c r="O137" i="1"/>
  <c r="M137" i="1"/>
  <c r="K137" i="1"/>
  <c r="AJ137" i="1" s="1"/>
  <c r="D57" i="1" l="1"/>
  <c r="E57" i="1"/>
  <c r="AA53" i="1" l="1"/>
  <c r="Z53" i="1"/>
  <c r="AA52" i="1"/>
  <c r="Z52" i="1"/>
  <c r="AA51" i="1"/>
  <c r="Z51" i="1"/>
  <c r="AA48" i="1"/>
  <c r="Z48" i="1"/>
  <c r="AA47" i="1"/>
  <c r="Z47" i="1"/>
  <c r="AA46" i="1"/>
  <c r="Z46" i="1"/>
  <c r="AA45" i="1"/>
  <c r="Z45" i="1"/>
  <c r="AA42" i="1"/>
  <c r="Z42" i="1"/>
  <c r="AA41" i="1"/>
  <c r="Z41" i="1"/>
  <c r="Z36" i="1"/>
  <c r="AA35" i="1"/>
  <c r="Z35" i="1"/>
  <c r="AA34" i="1"/>
  <c r="Z34" i="1"/>
  <c r="AA33" i="1"/>
  <c r="Z33" i="1"/>
  <c r="Z31" i="1"/>
  <c r="AA31" i="1"/>
  <c r="Z32" i="1"/>
  <c r="AA32" i="1"/>
  <c r="AA30" i="1"/>
  <c r="Z30" i="1"/>
  <c r="AA29" i="1"/>
  <c r="Z29" i="1"/>
  <c r="AA28" i="1"/>
  <c r="Z28" i="1"/>
  <c r="AA27" i="1"/>
  <c r="Z27" i="1"/>
  <c r="Z23" i="1"/>
  <c r="AA23" i="1"/>
  <c r="Z24" i="1"/>
  <c r="AA24" i="1"/>
  <c r="Z25" i="1"/>
  <c r="AA25" i="1"/>
  <c r="AA22" i="1"/>
  <c r="Z22" i="1"/>
  <c r="AA497" i="1"/>
  <c r="AA496" i="1"/>
  <c r="AA495" i="1"/>
  <c r="AA494" i="1"/>
  <c r="AA492" i="1"/>
  <c r="AA491" i="1"/>
  <c r="AA490" i="1"/>
  <c r="AA487" i="1"/>
  <c r="Z487" i="1"/>
  <c r="AA486" i="1"/>
  <c r="AA485" i="1"/>
  <c r="Z485" i="1"/>
  <c r="AA484" i="1"/>
  <c r="Z484" i="1"/>
  <c r="AA482" i="1"/>
  <c r="Z482" i="1"/>
  <c r="AA481" i="1"/>
  <c r="Z481" i="1"/>
  <c r="AA480" i="1"/>
  <c r="Z480" i="1"/>
  <c r="AA479" i="1"/>
  <c r="Z479" i="1"/>
  <c r="AA477" i="1"/>
  <c r="Z477" i="1"/>
  <c r="AA476" i="1"/>
  <c r="Z476" i="1"/>
  <c r="AA475" i="1"/>
  <c r="Z475" i="1"/>
  <c r="AA474" i="1"/>
  <c r="Z474" i="1"/>
  <c r="AA472" i="1"/>
  <c r="Z472" i="1"/>
  <c r="AA471" i="1"/>
  <c r="Z471" i="1"/>
  <c r="AA470" i="1"/>
  <c r="Z470" i="1"/>
  <c r="AA469" i="1"/>
  <c r="Z469" i="1"/>
  <c r="AA467" i="1"/>
  <c r="Z467" i="1"/>
  <c r="AA466" i="1"/>
  <c r="Z466" i="1"/>
  <c r="AA465" i="1"/>
  <c r="Z465" i="1"/>
  <c r="AA464" i="1"/>
  <c r="Z464" i="1"/>
  <c r="AA462" i="1"/>
  <c r="Z462" i="1"/>
  <c r="AA461" i="1"/>
  <c r="Z461" i="1"/>
  <c r="AA460" i="1"/>
  <c r="Z460" i="1"/>
  <c r="AA459" i="1"/>
  <c r="Z459" i="1"/>
  <c r="AA457" i="1"/>
  <c r="Z457" i="1"/>
  <c r="AA456" i="1"/>
  <c r="Z456" i="1"/>
  <c r="AA455" i="1"/>
  <c r="Z455" i="1"/>
  <c r="AA454" i="1"/>
  <c r="Z454" i="1"/>
  <c r="AA452" i="1"/>
  <c r="Z452" i="1"/>
  <c r="AA451" i="1"/>
  <c r="Z451" i="1"/>
  <c r="AA450" i="1"/>
  <c r="Z450" i="1"/>
  <c r="AA449" i="1"/>
  <c r="Z449" i="1"/>
  <c r="AA447" i="1"/>
  <c r="Z447" i="1"/>
  <c r="AA446" i="1"/>
  <c r="Z446" i="1"/>
  <c r="AA445" i="1"/>
  <c r="Z445" i="1"/>
  <c r="AA444" i="1"/>
  <c r="Z444" i="1"/>
  <c r="AA442" i="1"/>
  <c r="Z442" i="1"/>
  <c r="AA441" i="1"/>
  <c r="Z441" i="1"/>
  <c r="AA440" i="1"/>
  <c r="Z440" i="1"/>
  <c r="AA439" i="1"/>
  <c r="Z439" i="1"/>
  <c r="AB438" i="1"/>
  <c r="AC438" i="1"/>
  <c r="AD438" i="1"/>
  <c r="AE438" i="1"/>
  <c r="AF438" i="1"/>
  <c r="AG438" i="1"/>
  <c r="AH438" i="1"/>
  <c r="AI438" i="1"/>
  <c r="AB443" i="1"/>
  <c r="AC443" i="1"/>
  <c r="AD443" i="1"/>
  <c r="AE443" i="1"/>
  <c r="AF443" i="1"/>
  <c r="AG443" i="1"/>
  <c r="AH443" i="1"/>
  <c r="AI443" i="1"/>
  <c r="AB448" i="1"/>
  <c r="AC448" i="1"/>
  <c r="AD448" i="1"/>
  <c r="AE448" i="1"/>
  <c r="AF448" i="1"/>
  <c r="AG448" i="1"/>
  <c r="AH448" i="1"/>
  <c r="AI448" i="1"/>
  <c r="AB453" i="1"/>
  <c r="AC453" i="1"/>
  <c r="AD453" i="1"/>
  <c r="AE453" i="1"/>
  <c r="AF453" i="1"/>
  <c r="AG453" i="1"/>
  <c r="AH453" i="1"/>
  <c r="AI453" i="1"/>
  <c r="AB458" i="1"/>
  <c r="AC458" i="1"/>
  <c r="AD458" i="1"/>
  <c r="AE458" i="1"/>
  <c r="AF458" i="1"/>
  <c r="AG458" i="1"/>
  <c r="AH458" i="1"/>
  <c r="AI458" i="1"/>
  <c r="AB463" i="1"/>
  <c r="AC463" i="1"/>
  <c r="AD463" i="1"/>
  <c r="AE463" i="1"/>
  <c r="AF463" i="1"/>
  <c r="AG463" i="1"/>
  <c r="AH463" i="1"/>
  <c r="AI463" i="1"/>
  <c r="AB473" i="1"/>
  <c r="AC473" i="1"/>
  <c r="AD473" i="1"/>
  <c r="AE473" i="1"/>
  <c r="AF473" i="1"/>
  <c r="AG473" i="1"/>
  <c r="AH473" i="1"/>
  <c r="AI473" i="1"/>
  <c r="AB478" i="1"/>
  <c r="AC478" i="1"/>
  <c r="AD478" i="1"/>
  <c r="AE478" i="1"/>
  <c r="AF478" i="1"/>
  <c r="AG478" i="1"/>
  <c r="AH478" i="1"/>
  <c r="AI478" i="1"/>
  <c r="AB483" i="1"/>
  <c r="AC483" i="1"/>
  <c r="AD483" i="1"/>
  <c r="AE483" i="1"/>
  <c r="AF483" i="1"/>
  <c r="AG483" i="1"/>
  <c r="AH483" i="1"/>
  <c r="AI483" i="1"/>
  <c r="AB488" i="1"/>
  <c r="AC488" i="1"/>
  <c r="AD488" i="1"/>
  <c r="AE488" i="1"/>
  <c r="AF488" i="1"/>
  <c r="AG488" i="1"/>
  <c r="AH488" i="1"/>
  <c r="AI488" i="1"/>
  <c r="AB493" i="1"/>
  <c r="AC493" i="1"/>
  <c r="AD493" i="1"/>
  <c r="AE493" i="1"/>
  <c r="AF493" i="1"/>
  <c r="AG493" i="1"/>
  <c r="AH493" i="1"/>
  <c r="AI493" i="1"/>
  <c r="AB499" i="1"/>
  <c r="AC499" i="1"/>
  <c r="AD499" i="1"/>
  <c r="AE499" i="1"/>
  <c r="AF499" i="1"/>
  <c r="AG499" i="1"/>
  <c r="AH499" i="1"/>
  <c r="AI499" i="1"/>
  <c r="AB500" i="1"/>
  <c r="AC500" i="1"/>
  <c r="AD500" i="1"/>
  <c r="AE500" i="1"/>
  <c r="AF500" i="1"/>
  <c r="AG500" i="1"/>
  <c r="AH500" i="1"/>
  <c r="AI500" i="1"/>
  <c r="AB501" i="1"/>
  <c r="AC501" i="1"/>
  <c r="AD501" i="1"/>
  <c r="AE501" i="1"/>
  <c r="AF501" i="1"/>
  <c r="AG501" i="1"/>
  <c r="AH501" i="1"/>
  <c r="AI501" i="1"/>
  <c r="AB502" i="1"/>
  <c r="AC502" i="1"/>
  <c r="AD502" i="1"/>
  <c r="AE502" i="1"/>
  <c r="AF502" i="1"/>
  <c r="AG502" i="1"/>
  <c r="AH502" i="1"/>
  <c r="AI502" i="1"/>
  <c r="Z431" i="1"/>
  <c r="AA431" i="1"/>
  <c r="Z426" i="1"/>
  <c r="AA426" i="1"/>
  <c r="Z428" i="1"/>
  <c r="AA428" i="1"/>
  <c r="Z430" i="1"/>
  <c r="AA430" i="1"/>
  <c r="Z424" i="1"/>
  <c r="AA424" i="1"/>
  <c r="Z423" i="1"/>
  <c r="AA423" i="1"/>
  <c r="AA422" i="1"/>
  <c r="Z422" i="1"/>
  <c r="AB425" i="1"/>
  <c r="Z425" i="1" s="1"/>
  <c r="AC425" i="1"/>
  <c r="AA425" i="1" s="1"/>
  <c r="AD425" i="1"/>
  <c r="AE425" i="1"/>
  <c r="AF425" i="1"/>
  <c r="AG425" i="1"/>
  <c r="AH425" i="1"/>
  <c r="AI425" i="1"/>
  <c r="AB429" i="1"/>
  <c r="Z429" i="1" s="1"/>
  <c r="AC429" i="1"/>
  <c r="AA429" i="1" s="1"/>
  <c r="AD429" i="1"/>
  <c r="AE429" i="1"/>
  <c r="AF429" i="1"/>
  <c r="AG429" i="1"/>
  <c r="AH429" i="1"/>
  <c r="AI429" i="1"/>
  <c r="AB432" i="1"/>
  <c r="Z432" i="1" s="1"/>
  <c r="AC432" i="1"/>
  <c r="AA432" i="1" s="1"/>
  <c r="AD432" i="1"/>
  <c r="AE432" i="1"/>
  <c r="AF432" i="1"/>
  <c r="AG432" i="1"/>
  <c r="AH432" i="1"/>
  <c r="AI432" i="1"/>
  <c r="Z374" i="1"/>
  <c r="AA374" i="1"/>
  <c r="Z375" i="1"/>
  <c r="AA375" i="1"/>
  <c r="Z377" i="1"/>
  <c r="AA377" i="1"/>
  <c r="Z378" i="1"/>
  <c r="AA378" i="1"/>
  <c r="Z380" i="1"/>
  <c r="AA380" i="1"/>
  <c r="Z381" i="1"/>
  <c r="AA381" i="1"/>
  <c r="Z382" i="1"/>
  <c r="AA382" i="1"/>
  <c r="Z384" i="1"/>
  <c r="AA384" i="1"/>
  <c r="AB376" i="1"/>
  <c r="Z376" i="1" s="1"/>
  <c r="AC376" i="1"/>
  <c r="AA376" i="1" s="1"/>
  <c r="AD376" i="1"/>
  <c r="AE376" i="1"/>
  <c r="AF376" i="1"/>
  <c r="AG376" i="1"/>
  <c r="AH376" i="1"/>
  <c r="AI376" i="1"/>
  <c r="AB383" i="1"/>
  <c r="Z383" i="1" s="1"/>
  <c r="AC383" i="1"/>
  <c r="AA383" i="1" s="1"/>
  <c r="AD383" i="1"/>
  <c r="AE383" i="1"/>
  <c r="AF383" i="1"/>
  <c r="AG383" i="1"/>
  <c r="AH383" i="1"/>
  <c r="AI383" i="1"/>
  <c r="AB54" i="1"/>
  <c r="AD55" i="1"/>
  <c r="AB43" i="1"/>
  <c r="Z43" i="1" s="1"/>
  <c r="AC43" i="1"/>
  <c r="AC54" i="1" s="1"/>
  <c r="AD43" i="1"/>
  <c r="AD56" i="1" s="1"/>
  <c r="AE43" i="1"/>
  <c r="AE56" i="1" s="1"/>
  <c r="AF43" i="1"/>
  <c r="AF54" i="1" s="1"/>
  <c r="AG43" i="1"/>
  <c r="AG54" i="1" s="1"/>
  <c r="AH43" i="1"/>
  <c r="AH56" i="1" s="1"/>
  <c r="AI43" i="1"/>
  <c r="AB44" i="1"/>
  <c r="AC44" i="1"/>
  <c r="AC57" i="1" s="1"/>
  <c r="AD44" i="1"/>
  <c r="AD57" i="1" s="1"/>
  <c r="AE44" i="1"/>
  <c r="AF44" i="1"/>
  <c r="AG44" i="1"/>
  <c r="AG57" i="1" s="1"/>
  <c r="AH44" i="1"/>
  <c r="AH57" i="1" s="1"/>
  <c r="AI44" i="1"/>
  <c r="AB56" i="1"/>
  <c r="AC56" i="1"/>
  <c r="AF56" i="1"/>
  <c r="AG468" i="1" l="1"/>
  <c r="AG498" i="1" s="1"/>
  <c r="AC468" i="1"/>
  <c r="AC498" i="1" s="1"/>
  <c r="AF55" i="1"/>
  <c r="AF57" i="1"/>
  <c r="AB55" i="1"/>
  <c r="AB57" i="1"/>
  <c r="AC55" i="1"/>
  <c r="AF468" i="1"/>
  <c r="AF498" i="1" s="1"/>
  <c r="AB468" i="1"/>
  <c r="AB498" i="1" s="1"/>
  <c r="AG56" i="1"/>
  <c r="AI55" i="1"/>
  <c r="AI57" i="1"/>
  <c r="AE55" i="1"/>
  <c r="AE57" i="1"/>
  <c r="AI54" i="1"/>
  <c r="AI56" i="1"/>
  <c r="AH55" i="1"/>
  <c r="AA427" i="1"/>
  <c r="AI468" i="1"/>
  <c r="AI498" i="1" s="1"/>
  <c r="AE468" i="1"/>
  <c r="AE498" i="1" s="1"/>
  <c r="Z44" i="1"/>
  <c r="Z57" i="1" s="1"/>
  <c r="AA43" i="1"/>
  <c r="AG55" i="1"/>
  <c r="Z427" i="1"/>
  <c r="AJ427" i="1" s="1"/>
  <c r="AH468" i="1"/>
  <c r="AH498" i="1" s="1"/>
  <c r="AD468" i="1"/>
  <c r="AD498" i="1" s="1"/>
  <c r="AA44" i="1"/>
  <c r="AA57" i="1" s="1"/>
  <c r="AE54" i="1"/>
  <c r="AH54" i="1"/>
  <c r="AD54" i="1"/>
  <c r="D432" i="1"/>
  <c r="E432" i="1"/>
  <c r="E56" i="1" l="1"/>
  <c r="D56" i="1" l="1"/>
  <c r="E54" i="1"/>
  <c r="E55" i="1"/>
  <c r="D54" i="1"/>
  <c r="AK201" i="1"/>
  <c r="AK200" i="1"/>
  <c r="AJ195" i="1"/>
  <c r="AJ207" i="1"/>
  <c r="AJ206" i="1"/>
  <c r="AJ205" i="1"/>
  <c r="AJ204" i="1"/>
  <c r="AJ203" i="1"/>
  <c r="AJ202" i="1"/>
  <c r="AJ201" i="1"/>
  <c r="AJ200" i="1"/>
  <c r="AK199" i="1"/>
  <c r="AJ199" i="1"/>
  <c r="AK198" i="1"/>
  <c r="AJ198" i="1"/>
  <c r="AJ197" i="1"/>
  <c r="AK196" i="1"/>
  <c r="AJ196" i="1"/>
  <c r="AL195" i="1" l="1"/>
  <c r="AL391" i="1"/>
  <c r="AK61" i="1" l="1"/>
  <c r="AK59" i="1"/>
  <c r="AJ51" i="1"/>
  <c r="H493" i="1" l="1"/>
  <c r="I493" i="1"/>
  <c r="J493" i="1"/>
  <c r="K493" i="1"/>
  <c r="L493" i="1"/>
  <c r="M493" i="1"/>
  <c r="N493" i="1"/>
  <c r="O493" i="1"/>
  <c r="P493" i="1"/>
  <c r="Q493" i="1"/>
  <c r="R493" i="1"/>
  <c r="S493" i="1"/>
  <c r="T493" i="1"/>
  <c r="U493" i="1"/>
  <c r="V493" i="1"/>
  <c r="W493" i="1"/>
  <c r="X493" i="1"/>
  <c r="Y493" i="1"/>
  <c r="Z493" i="1"/>
  <c r="AA493" i="1"/>
  <c r="G493" i="1"/>
  <c r="AH330" i="1" l="1"/>
  <c r="AF330" i="1"/>
  <c r="AD330" i="1"/>
  <c r="AB330" i="1"/>
  <c r="AA329" i="1"/>
  <c r="AA330" i="1"/>
  <c r="AA331" i="1"/>
  <c r="AA332" i="1"/>
  <c r="AA333" i="1"/>
  <c r="AA334" i="1"/>
  <c r="AA335" i="1"/>
  <c r="AA336" i="1"/>
  <c r="AA337" i="1"/>
  <c r="AK337" i="1" s="1"/>
  <c r="AA338" i="1"/>
  <c r="AK338" i="1" s="1"/>
  <c r="AA328" i="1"/>
  <c r="AJ181" i="1"/>
  <c r="AJ338" i="1" l="1"/>
  <c r="AJ157" i="1"/>
  <c r="AJ158" i="1"/>
  <c r="AJ159" i="1"/>
  <c r="AJ62" i="1" l="1"/>
  <c r="AJ61" i="1"/>
  <c r="AJ60" i="1"/>
  <c r="AJ59" i="1"/>
  <c r="AM61" i="1" l="1"/>
  <c r="AM59" i="1"/>
  <c r="AJ313" i="1" l="1"/>
  <c r="AK312" i="1"/>
  <c r="AJ312" i="1"/>
  <c r="AK119" i="1"/>
  <c r="AK117" i="1"/>
  <c r="AL111" i="1" s="1"/>
  <c r="AK51" i="1"/>
  <c r="AJ32" i="1"/>
  <c r="AA212" i="1" l="1"/>
  <c r="AA213" i="1"/>
  <c r="AJ215" i="1"/>
  <c r="AJ223" i="1"/>
  <c r="AJ231" i="1"/>
  <c r="AA211" i="1"/>
  <c r="AI214" i="1"/>
  <c r="AI222" i="1"/>
  <c r="AI230" i="1"/>
  <c r="AG214" i="1"/>
  <c r="AG222" i="1"/>
  <c r="AG230" i="1"/>
  <c r="AE214" i="1"/>
  <c r="AE222" i="1"/>
  <c r="AE230" i="1"/>
  <c r="AC214" i="1"/>
  <c r="AC222" i="1"/>
  <c r="AC230" i="1"/>
  <c r="AA388" i="1"/>
  <c r="Z388" i="1"/>
  <c r="AA389" i="1"/>
  <c r="Z389" i="1"/>
  <c r="AB390" i="1"/>
  <c r="AC390" i="1"/>
  <c r="AD390" i="1"/>
  <c r="AE390" i="1"/>
  <c r="AF390" i="1"/>
  <c r="AG390" i="1"/>
  <c r="AH390" i="1"/>
  <c r="AI390" i="1"/>
  <c r="Z347" i="1"/>
  <c r="AA347" i="1"/>
  <c r="Z348" i="1"/>
  <c r="AA348" i="1"/>
  <c r="Z349" i="1"/>
  <c r="AA349" i="1"/>
  <c r="Z350" i="1"/>
  <c r="AA350" i="1"/>
  <c r="Z351" i="1"/>
  <c r="AA351" i="1"/>
  <c r="AA352" i="1"/>
  <c r="Z352" i="1"/>
  <c r="AB346" i="1"/>
  <c r="AC346" i="1"/>
  <c r="AD346" i="1"/>
  <c r="AE346" i="1"/>
  <c r="AF346" i="1"/>
  <c r="AG346" i="1"/>
  <c r="AH346" i="1"/>
  <c r="AI346" i="1"/>
  <c r="AJ354" i="1" l="1"/>
  <c r="AA390" i="1"/>
  <c r="AA214" i="1"/>
  <c r="F493" i="1"/>
  <c r="L502" i="1" l="1"/>
  <c r="M502" i="1"/>
  <c r="N502" i="1"/>
  <c r="O502" i="1"/>
  <c r="P502" i="1"/>
  <c r="Q502" i="1"/>
  <c r="R502" i="1"/>
  <c r="S502" i="1"/>
  <c r="T502" i="1"/>
  <c r="U502" i="1"/>
  <c r="V502" i="1"/>
  <c r="W502" i="1"/>
  <c r="X502" i="1"/>
  <c r="Y502" i="1"/>
  <c r="Z502" i="1"/>
  <c r="AA502" i="1"/>
  <c r="F483" i="1" l="1"/>
  <c r="G483" i="1"/>
  <c r="H483" i="1"/>
  <c r="I483" i="1"/>
  <c r="J483" i="1"/>
  <c r="K483" i="1"/>
  <c r="M483" i="1"/>
  <c r="N483" i="1"/>
  <c r="O483" i="1"/>
  <c r="P483" i="1"/>
  <c r="Q483" i="1"/>
  <c r="R483" i="1"/>
  <c r="S483" i="1"/>
  <c r="T483" i="1"/>
  <c r="U483" i="1"/>
  <c r="V483" i="1"/>
  <c r="W483" i="1"/>
  <c r="X483" i="1"/>
  <c r="Y483" i="1"/>
  <c r="Z483" i="1"/>
  <c r="AA483" i="1"/>
  <c r="M478" i="1"/>
  <c r="N478" i="1"/>
  <c r="O478" i="1"/>
  <c r="P478" i="1"/>
  <c r="Q478" i="1"/>
  <c r="R478" i="1"/>
  <c r="S478" i="1"/>
  <c r="T478" i="1"/>
  <c r="U478" i="1"/>
  <c r="V478" i="1"/>
  <c r="W478" i="1"/>
  <c r="X478" i="1"/>
  <c r="Y478" i="1"/>
  <c r="Z478" i="1"/>
  <c r="AA478" i="1"/>
  <c r="H473" i="1"/>
  <c r="I473" i="1"/>
  <c r="J473" i="1"/>
  <c r="K473" i="1"/>
  <c r="L473" i="1"/>
  <c r="M473" i="1"/>
  <c r="N473" i="1"/>
  <c r="O473" i="1"/>
  <c r="P473" i="1"/>
  <c r="Q473" i="1"/>
  <c r="R473" i="1"/>
  <c r="S473" i="1"/>
  <c r="T473" i="1"/>
  <c r="U473" i="1"/>
  <c r="V473" i="1"/>
  <c r="W473" i="1"/>
  <c r="X473" i="1"/>
  <c r="Y473" i="1"/>
  <c r="Z473" i="1"/>
  <c r="AA473" i="1"/>
  <c r="F473" i="1"/>
  <c r="G473" i="1"/>
  <c r="F463" i="1"/>
  <c r="H463" i="1"/>
  <c r="I463" i="1"/>
  <c r="J463" i="1"/>
  <c r="K463" i="1"/>
  <c r="L463" i="1"/>
  <c r="M463" i="1"/>
  <c r="N463" i="1"/>
  <c r="O463" i="1"/>
  <c r="P463" i="1"/>
  <c r="Q463" i="1"/>
  <c r="R463" i="1"/>
  <c r="S463" i="1"/>
  <c r="T463" i="1"/>
  <c r="U463" i="1"/>
  <c r="V463" i="1"/>
  <c r="W463" i="1"/>
  <c r="X463" i="1"/>
  <c r="Y463" i="1"/>
  <c r="Z463" i="1"/>
  <c r="AA463" i="1"/>
  <c r="H458" i="1"/>
  <c r="I458" i="1"/>
  <c r="J458" i="1"/>
  <c r="K458" i="1"/>
  <c r="L458" i="1"/>
  <c r="M458" i="1"/>
  <c r="N458" i="1"/>
  <c r="O458" i="1"/>
  <c r="P458" i="1"/>
  <c r="Q458" i="1"/>
  <c r="R458" i="1"/>
  <c r="S458" i="1"/>
  <c r="T458" i="1"/>
  <c r="U458" i="1"/>
  <c r="V458" i="1"/>
  <c r="W458" i="1"/>
  <c r="X458" i="1"/>
  <c r="Y458" i="1"/>
  <c r="Z458" i="1"/>
  <c r="AA458" i="1"/>
  <c r="F458" i="1"/>
  <c r="H453" i="1"/>
  <c r="I453" i="1"/>
  <c r="J453" i="1"/>
  <c r="K453" i="1"/>
  <c r="L453" i="1"/>
  <c r="M453" i="1"/>
  <c r="N453" i="1"/>
  <c r="O453" i="1"/>
  <c r="P453" i="1"/>
  <c r="Q453" i="1"/>
  <c r="R453" i="1"/>
  <c r="S453" i="1"/>
  <c r="T453" i="1"/>
  <c r="U453" i="1"/>
  <c r="V453" i="1"/>
  <c r="W453" i="1"/>
  <c r="X453" i="1"/>
  <c r="Y453" i="1"/>
  <c r="Z453" i="1"/>
  <c r="AA453" i="1"/>
  <c r="F453" i="1"/>
  <c r="J448" i="1"/>
  <c r="AK473" i="1" l="1"/>
  <c r="I448" i="1"/>
  <c r="K448" i="1"/>
  <c r="L448" i="1"/>
  <c r="M448" i="1"/>
  <c r="N448" i="1"/>
  <c r="O448" i="1"/>
  <c r="P448" i="1"/>
  <c r="Q448" i="1"/>
  <c r="R448" i="1"/>
  <c r="S448" i="1"/>
  <c r="T448" i="1"/>
  <c r="U448" i="1"/>
  <c r="V448" i="1"/>
  <c r="W448" i="1"/>
  <c r="X448" i="1"/>
  <c r="Y448" i="1"/>
  <c r="Z448" i="1"/>
  <c r="AA448" i="1"/>
  <c r="F448" i="1"/>
  <c r="G448" i="1"/>
  <c r="I443" i="1"/>
  <c r="J443" i="1"/>
  <c r="K443" i="1"/>
  <c r="L443" i="1"/>
  <c r="M443" i="1"/>
  <c r="N443" i="1"/>
  <c r="O443" i="1"/>
  <c r="P443" i="1"/>
  <c r="Q443" i="1"/>
  <c r="R443" i="1"/>
  <c r="S443" i="1"/>
  <c r="T443" i="1"/>
  <c r="U443" i="1"/>
  <c r="V443" i="1"/>
  <c r="W443" i="1"/>
  <c r="X443" i="1"/>
  <c r="Y443" i="1"/>
  <c r="Z443" i="1"/>
  <c r="AA443" i="1"/>
  <c r="F443" i="1"/>
  <c r="G443" i="1"/>
  <c r="J438" i="1"/>
  <c r="K438" i="1"/>
  <c r="L438" i="1"/>
  <c r="M438" i="1"/>
  <c r="N438" i="1"/>
  <c r="O438" i="1"/>
  <c r="P438" i="1"/>
  <c r="Q438" i="1"/>
  <c r="R438" i="1"/>
  <c r="S438" i="1"/>
  <c r="T438" i="1"/>
  <c r="U438" i="1"/>
  <c r="V438" i="1"/>
  <c r="W438" i="1"/>
  <c r="X438" i="1"/>
  <c r="Y438" i="1"/>
  <c r="Z438" i="1"/>
  <c r="AA438" i="1"/>
  <c r="G438" i="1"/>
  <c r="H438" i="1"/>
  <c r="I438" i="1"/>
  <c r="F438" i="1" l="1"/>
  <c r="H443" i="1"/>
  <c r="K128" i="1" l="1"/>
  <c r="AK128" i="1" l="1"/>
  <c r="H488" i="1"/>
  <c r="I488" i="1"/>
  <c r="J488" i="1"/>
  <c r="K488" i="1"/>
  <c r="L488" i="1"/>
  <c r="M488" i="1"/>
  <c r="N488" i="1"/>
  <c r="O488" i="1"/>
  <c r="P488" i="1"/>
  <c r="Q488" i="1"/>
  <c r="R488" i="1"/>
  <c r="S488" i="1"/>
  <c r="T488" i="1"/>
  <c r="U488" i="1"/>
  <c r="V488" i="1"/>
  <c r="W488" i="1"/>
  <c r="X488" i="1"/>
  <c r="Y488" i="1"/>
  <c r="Z488" i="1"/>
  <c r="AA488" i="1"/>
  <c r="F488" i="1"/>
  <c r="H448" i="1"/>
  <c r="AK448" i="1" s="1"/>
  <c r="G453" i="1"/>
  <c r="AK453" i="1" s="1"/>
  <c r="G458" i="1"/>
  <c r="AK458" i="1" s="1"/>
  <c r="G463" i="1"/>
  <c r="AK463" i="1" s="1"/>
  <c r="G478" i="1"/>
  <c r="H478" i="1"/>
  <c r="I478" i="1"/>
  <c r="J478" i="1"/>
  <c r="K478" i="1"/>
  <c r="L478" i="1"/>
  <c r="F478" i="1"/>
  <c r="L483" i="1"/>
  <c r="AK483" i="1" s="1"/>
  <c r="AK103" i="1"/>
  <c r="AK102" i="1"/>
  <c r="AK99" i="1"/>
  <c r="AK98" i="1"/>
  <c r="AK95" i="1"/>
  <c r="AK94" i="1"/>
  <c r="AK91" i="1"/>
  <c r="AK90" i="1"/>
  <c r="AK87" i="1"/>
  <c r="AK86" i="1"/>
  <c r="AK83" i="1"/>
  <c r="AK82" i="1"/>
  <c r="AK79" i="1"/>
  <c r="AK78" i="1"/>
  <c r="AK75" i="1"/>
  <c r="AK74" i="1"/>
  <c r="AK71" i="1"/>
  <c r="AK70" i="1"/>
  <c r="AK67" i="1"/>
  <c r="AK66" i="1"/>
  <c r="AJ73" i="1"/>
  <c r="AJ72" i="1"/>
  <c r="AJ69" i="1"/>
  <c r="AJ68" i="1"/>
  <c r="AL66" i="1" l="1"/>
  <c r="AK488" i="1"/>
  <c r="Z373" i="1"/>
  <c r="AA373" i="1"/>
  <c r="Z360" i="1"/>
  <c r="AA360" i="1"/>
  <c r="Z361" i="1"/>
  <c r="AA361" i="1"/>
  <c r="Z362" i="1"/>
  <c r="AA362" i="1"/>
  <c r="Z363" i="1"/>
  <c r="AA363" i="1"/>
  <c r="Z364" i="1"/>
  <c r="AA364" i="1"/>
  <c r="Z365" i="1"/>
  <c r="AA365" i="1"/>
  <c r="Z366" i="1"/>
  <c r="AA366" i="1"/>
  <c r="Z367" i="1"/>
  <c r="AA367" i="1"/>
  <c r="Z368" i="1"/>
  <c r="AA368" i="1"/>
  <c r="Z369" i="1"/>
  <c r="AA369" i="1"/>
  <c r="Z370" i="1"/>
  <c r="AA370" i="1"/>
  <c r="Z371" i="1"/>
  <c r="AA371" i="1"/>
  <c r="AA358" i="1"/>
  <c r="Z358" i="1"/>
  <c r="AI372" i="1"/>
  <c r="AH372" i="1"/>
  <c r="AI359" i="1"/>
  <c r="AH359" i="1"/>
  <c r="G499" i="1" l="1"/>
  <c r="H499" i="1"/>
  <c r="I499" i="1"/>
  <c r="J499" i="1"/>
  <c r="K499" i="1"/>
  <c r="L499" i="1"/>
  <c r="M499" i="1"/>
  <c r="N499" i="1"/>
  <c r="O499" i="1"/>
  <c r="P499" i="1"/>
  <c r="Q499" i="1"/>
  <c r="R499" i="1"/>
  <c r="S499" i="1"/>
  <c r="T499" i="1"/>
  <c r="U499" i="1"/>
  <c r="V499" i="1"/>
  <c r="W499" i="1"/>
  <c r="X499" i="1"/>
  <c r="Y499" i="1"/>
  <c r="Z499" i="1"/>
  <c r="AA499" i="1"/>
  <c r="G500" i="1"/>
  <c r="H500" i="1"/>
  <c r="I500" i="1"/>
  <c r="J500" i="1"/>
  <c r="K500" i="1"/>
  <c r="L500" i="1"/>
  <c r="M500" i="1"/>
  <c r="N500" i="1"/>
  <c r="O500" i="1"/>
  <c r="P500" i="1"/>
  <c r="Q500" i="1"/>
  <c r="R500" i="1"/>
  <c r="S500" i="1"/>
  <c r="T500" i="1"/>
  <c r="U500" i="1"/>
  <c r="V500" i="1"/>
  <c r="W500" i="1"/>
  <c r="X500" i="1"/>
  <c r="Y500" i="1"/>
  <c r="Z500" i="1"/>
  <c r="AA500" i="1"/>
  <c r="G501" i="1"/>
  <c r="H501" i="1"/>
  <c r="I501" i="1"/>
  <c r="J501" i="1"/>
  <c r="K501" i="1"/>
  <c r="L501" i="1"/>
  <c r="M501" i="1"/>
  <c r="N501" i="1"/>
  <c r="O501" i="1"/>
  <c r="P501" i="1"/>
  <c r="Q501" i="1"/>
  <c r="R501" i="1"/>
  <c r="S501" i="1"/>
  <c r="T501" i="1"/>
  <c r="U501" i="1"/>
  <c r="V501" i="1"/>
  <c r="W501" i="1"/>
  <c r="X501" i="1"/>
  <c r="Y501" i="1"/>
  <c r="Z501" i="1"/>
  <c r="AA501" i="1"/>
  <c r="F499" i="1"/>
  <c r="F500" i="1"/>
  <c r="F501" i="1"/>
  <c r="AM502" i="1"/>
  <c r="AM501" i="1"/>
  <c r="AM500" i="1"/>
  <c r="AM497" i="1"/>
  <c r="AM496" i="1"/>
  <c r="AJ496" i="1"/>
  <c r="AM495" i="1"/>
  <c r="AJ495" i="1"/>
  <c r="AJ494" i="1"/>
  <c r="AM492" i="1"/>
  <c r="AM491" i="1"/>
  <c r="AJ491" i="1"/>
  <c r="AM490" i="1"/>
  <c r="AJ490" i="1"/>
  <c r="AJ489" i="1"/>
  <c r="AM487" i="1"/>
  <c r="AM486" i="1"/>
  <c r="AJ486" i="1"/>
  <c r="AM485" i="1"/>
  <c r="AJ485" i="1"/>
  <c r="AJ484" i="1"/>
  <c r="AM482" i="1"/>
  <c r="AM481" i="1"/>
  <c r="AJ481" i="1"/>
  <c r="AM480" i="1"/>
  <c r="AJ480" i="1"/>
  <c r="AJ479" i="1"/>
  <c r="K482" i="1"/>
  <c r="K502" i="1" s="1"/>
  <c r="J482" i="1"/>
  <c r="J502" i="1" s="1"/>
  <c r="I482" i="1"/>
  <c r="I502" i="1" s="1"/>
  <c r="H482" i="1"/>
  <c r="H502" i="1" s="1"/>
  <c r="G482" i="1"/>
  <c r="G502" i="1" s="1"/>
  <c r="F482" i="1"/>
  <c r="AM477" i="1"/>
  <c r="AM476" i="1"/>
  <c r="AJ476" i="1"/>
  <c r="AM475" i="1"/>
  <c r="AJ475" i="1"/>
  <c r="AJ474" i="1"/>
  <c r="AM472" i="1"/>
  <c r="AM471" i="1"/>
  <c r="AJ471" i="1"/>
  <c r="AM470" i="1"/>
  <c r="AJ470" i="1"/>
  <c r="AJ469" i="1"/>
  <c r="AM467" i="1"/>
  <c r="AM466" i="1"/>
  <c r="AJ466" i="1"/>
  <c r="AM465" i="1"/>
  <c r="AJ465" i="1"/>
  <c r="AJ464" i="1"/>
  <c r="AM462" i="1"/>
  <c r="AM461" i="1"/>
  <c r="AJ461" i="1"/>
  <c r="AM460" i="1"/>
  <c r="AJ460" i="1"/>
  <c r="AJ459" i="1"/>
  <c r="AM457" i="1"/>
  <c r="AM456" i="1"/>
  <c r="AJ456" i="1"/>
  <c r="AM455" i="1"/>
  <c r="AJ455" i="1"/>
  <c r="AJ454" i="1"/>
  <c r="AM452" i="1"/>
  <c r="AM451" i="1"/>
  <c r="AJ451" i="1"/>
  <c r="AM450" i="1"/>
  <c r="AJ450" i="1"/>
  <c r="AJ449" i="1"/>
  <c r="AM447" i="1"/>
  <c r="AM446" i="1"/>
  <c r="AJ446" i="1"/>
  <c r="AM445" i="1"/>
  <c r="AJ445" i="1"/>
  <c r="AJ444" i="1"/>
  <c r="AM442" i="1"/>
  <c r="AM441" i="1"/>
  <c r="AJ441" i="1"/>
  <c r="AM440" i="1"/>
  <c r="AJ440" i="1"/>
  <c r="AJ439" i="1"/>
  <c r="F502" i="1" l="1"/>
  <c r="AK478" i="1"/>
  <c r="AM484" i="1"/>
  <c r="AM464" i="1"/>
  <c r="AM449" i="1"/>
  <c r="AM454" i="1"/>
  <c r="AM459" i="1"/>
  <c r="AM479" i="1"/>
  <c r="AM444" i="1"/>
  <c r="AM489" i="1"/>
  <c r="AM469" i="1"/>
  <c r="AM474" i="1"/>
  <c r="AJ477" i="1"/>
  <c r="AJ482" i="1"/>
  <c r="AJ487" i="1"/>
  <c r="AJ501" i="1"/>
  <c r="AJ499" i="1"/>
  <c r="AJ492" i="1"/>
  <c r="AJ500" i="1"/>
  <c r="AM494" i="1"/>
  <c r="AJ462" i="1"/>
  <c r="AJ483" i="1"/>
  <c r="AJ478" i="1"/>
  <c r="AJ488" i="1"/>
  <c r="AJ473" i="1"/>
  <c r="AJ458" i="1"/>
  <c r="AJ447" i="1"/>
  <c r="AJ452" i="1"/>
  <c r="AJ448" i="1"/>
  <c r="AJ443" i="1"/>
  <c r="AJ438" i="1"/>
  <c r="AJ442" i="1"/>
  <c r="AM439" i="1"/>
  <c r="AM499" i="1" l="1"/>
  <c r="AB372" i="1" l="1"/>
  <c r="AC372" i="1"/>
  <c r="AD372" i="1"/>
  <c r="AE372" i="1"/>
  <c r="AF372" i="1"/>
  <c r="AG372" i="1"/>
  <c r="AA372" i="1" l="1"/>
  <c r="Z372" i="1"/>
  <c r="D55" i="1"/>
  <c r="AA346" i="1"/>
  <c r="Y346" i="1"/>
  <c r="W346" i="1"/>
  <c r="U346" i="1"/>
  <c r="S346" i="1"/>
  <c r="Q346" i="1"/>
  <c r="O346" i="1"/>
  <c r="M346" i="1"/>
  <c r="AB359" i="1" l="1"/>
  <c r="AC359" i="1"/>
  <c r="AD359" i="1"/>
  <c r="AE359" i="1"/>
  <c r="AF359" i="1"/>
  <c r="AG359" i="1"/>
  <c r="AK52" i="1"/>
  <c r="AJ53" i="1"/>
  <c r="AJ52" i="1"/>
  <c r="AJ102" i="1"/>
  <c r="AJ103" i="1"/>
  <c r="AJ106" i="1"/>
  <c r="AJ107" i="1"/>
  <c r="AJ99" i="1"/>
  <c r="AJ98" i="1"/>
  <c r="AJ95" i="1"/>
  <c r="AJ94" i="1"/>
  <c r="AJ91" i="1"/>
  <c r="AJ90" i="1"/>
  <c r="AJ87" i="1"/>
  <c r="AJ86" i="1"/>
  <c r="AJ83" i="1"/>
  <c r="AJ82" i="1"/>
  <c r="AJ79" i="1"/>
  <c r="AJ78" i="1"/>
  <c r="AJ75" i="1"/>
  <c r="AJ74" i="1"/>
  <c r="AJ71" i="1"/>
  <c r="AJ70" i="1"/>
  <c r="AJ67" i="1"/>
  <c r="AJ26" i="1"/>
  <c r="AA359" i="1" l="1"/>
  <c r="Z359" i="1"/>
  <c r="AJ66" i="1"/>
  <c r="AJ147" i="1"/>
  <c r="AK342" i="1" l="1"/>
  <c r="AK340" i="1"/>
  <c r="AM340" i="1"/>
  <c r="AM333" i="1"/>
  <c r="AM332" i="1"/>
  <c r="AM331" i="1"/>
  <c r="AJ424" i="1" l="1"/>
  <c r="AQ21" i="1" l="1"/>
  <c r="AQ20" i="1"/>
  <c r="AQ19" i="1"/>
  <c r="AQ4" i="1"/>
  <c r="AQ3" i="1"/>
  <c r="AP21" i="1"/>
  <c r="AP20" i="1"/>
  <c r="AP19" i="1"/>
  <c r="AP4" i="1"/>
  <c r="AP3" i="1"/>
  <c r="A3" i="1" l="1"/>
  <c r="G425" i="1" l="1"/>
  <c r="H425" i="1"/>
  <c r="I425" i="1"/>
  <c r="J425" i="1"/>
  <c r="K425" i="1"/>
  <c r="L425" i="1"/>
  <c r="M425" i="1"/>
  <c r="N425" i="1"/>
  <c r="O425" i="1"/>
  <c r="P425" i="1"/>
  <c r="Q425" i="1"/>
  <c r="R425" i="1"/>
  <c r="S425" i="1"/>
  <c r="T425" i="1"/>
  <c r="U425" i="1"/>
  <c r="V425" i="1"/>
  <c r="W425" i="1"/>
  <c r="X425" i="1"/>
  <c r="Y425" i="1"/>
  <c r="Y214" i="1" l="1"/>
  <c r="W214" i="1"/>
  <c r="U214" i="1"/>
  <c r="S214" i="1"/>
  <c r="Q214" i="1"/>
  <c r="O214" i="1"/>
  <c r="M214" i="1"/>
  <c r="Y230" i="1"/>
  <c r="W230" i="1"/>
  <c r="U230" i="1"/>
  <c r="S230" i="1"/>
  <c r="Q230" i="1"/>
  <c r="O230" i="1"/>
  <c r="M230" i="1"/>
  <c r="Y222" i="1"/>
  <c r="W222" i="1"/>
  <c r="U222" i="1"/>
  <c r="S222" i="1"/>
  <c r="Q222" i="1"/>
  <c r="O222" i="1"/>
  <c r="AK212" i="1" l="1"/>
  <c r="AK228" i="1"/>
  <c r="AK125" i="1"/>
  <c r="AK126" i="1"/>
  <c r="G44" i="1" l="1"/>
  <c r="H44" i="1"/>
  <c r="I44" i="1"/>
  <c r="J44" i="1"/>
  <c r="K44" i="1"/>
  <c r="L44" i="1"/>
  <c r="M44" i="1"/>
  <c r="N44" i="1"/>
  <c r="O44" i="1"/>
  <c r="P44" i="1"/>
  <c r="Q44" i="1"/>
  <c r="R44" i="1"/>
  <c r="S44" i="1"/>
  <c r="T44" i="1"/>
  <c r="U44" i="1"/>
  <c r="V44" i="1"/>
  <c r="W44" i="1"/>
  <c r="X44" i="1"/>
  <c r="Y44" i="1"/>
  <c r="F44" i="1"/>
  <c r="F57" i="1" l="1"/>
  <c r="F55" i="1"/>
  <c r="R57" i="1"/>
  <c r="R55" i="1"/>
  <c r="N57" i="1"/>
  <c r="N55" i="1"/>
  <c r="J57" i="1"/>
  <c r="J55" i="1"/>
  <c r="H57" i="1"/>
  <c r="H55" i="1"/>
  <c r="V57" i="1"/>
  <c r="V55" i="1"/>
  <c r="Y57" i="1"/>
  <c r="Y55" i="1"/>
  <c r="U57" i="1"/>
  <c r="U55" i="1"/>
  <c r="Q57" i="1"/>
  <c r="Q55" i="1"/>
  <c r="M57" i="1"/>
  <c r="M55" i="1"/>
  <c r="I57" i="1"/>
  <c r="I55" i="1"/>
  <c r="X57" i="1"/>
  <c r="X55" i="1"/>
  <c r="T57" i="1"/>
  <c r="T55" i="1"/>
  <c r="P57" i="1"/>
  <c r="P55" i="1"/>
  <c r="L57" i="1"/>
  <c r="L55" i="1"/>
  <c r="W57" i="1"/>
  <c r="W55" i="1"/>
  <c r="S57" i="1"/>
  <c r="S55" i="1"/>
  <c r="O57" i="1"/>
  <c r="O55" i="1"/>
  <c r="K57" i="1"/>
  <c r="K55" i="1"/>
  <c r="G57" i="1"/>
  <c r="G55" i="1"/>
  <c r="Z55" i="1"/>
  <c r="AA55" i="1"/>
  <c r="M468" i="1"/>
  <c r="Q468" i="1"/>
  <c r="X468" i="1"/>
  <c r="T468" i="1"/>
  <c r="P468" i="1"/>
  <c r="L468" i="1"/>
  <c r="H468" i="1"/>
  <c r="Y468" i="1"/>
  <c r="F468" i="1"/>
  <c r="AA468" i="1"/>
  <c r="W468" i="1"/>
  <c r="S468" i="1"/>
  <c r="O468" i="1"/>
  <c r="K468" i="1"/>
  <c r="G468" i="1"/>
  <c r="U468" i="1"/>
  <c r="I468" i="1"/>
  <c r="Z468" i="1"/>
  <c r="V468" i="1"/>
  <c r="R468" i="1"/>
  <c r="N468" i="1"/>
  <c r="J468" i="1"/>
  <c r="AJ472" i="1"/>
  <c r="G43" i="1"/>
  <c r="H43" i="1"/>
  <c r="I43" i="1"/>
  <c r="J43" i="1"/>
  <c r="K43" i="1"/>
  <c r="L43" i="1"/>
  <c r="M43" i="1"/>
  <c r="N43" i="1"/>
  <c r="O43" i="1"/>
  <c r="P43" i="1"/>
  <c r="Q43" i="1"/>
  <c r="R43" i="1"/>
  <c r="S43" i="1"/>
  <c r="T43" i="1"/>
  <c r="U43" i="1"/>
  <c r="V43" i="1"/>
  <c r="W43" i="1"/>
  <c r="X43" i="1"/>
  <c r="Y43" i="1"/>
  <c r="F43" i="1"/>
  <c r="E346" i="1"/>
  <c r="E324" i="1"/>
  <c r="X56" i="1" l="1"/>
  <c r="X54" i="1"/>
  <c r="H56" i="1"/>
  <c r="H54" i="1"/>
  <c r="V56" i="1"/>
  <c r="V54" i="1"/>
  <c r="R56" i="1"/>
  <c r="R54" i="1"/>
  <c r="N56" i="1"/>
  <c r="N54" i="1"/>
  <c r="J56" i="1"/>
  <c r="J54" i="1"/>
  <c r="Y56" i="1"/>
  <c r="Y54" i="1"/>
  <c r="U56" i="1"/>
  <c r="U54" i="1"/>
  <c r="Q56" i="1"/>
  <c r="Q54" i="1"/>
  <c r="M56" i="1"/>
  <c r="M54" i="1"/>
  <c r="I56" i="1"/>
  <c r="I54" i="1"/>
  <c r="T56" i="1"/>
  <c r="T54" i="1"/>
  <c r="L56" i="1"/>
  <c r="L54" i="1"/>
  <c r="W56" i="1"/>
  <c r="W54" i="1"/>
  <c r="S56" i="1"/>
  <c r="S54" i="1"/>
  <c r="O56" i="1"/>
  <c r="O54" i="1"/>
  <c r="K56" i="1"/>
  <c r="K54" i="1"/>
  <c r="G56" i="1"/>
  <c r="G54" i="1"/>
  <c r="P56" i="1"/>
  <c r="P54" i="1"/>
  <c r="F56" i="1"/>
  <c r="F54" i="1"/>
  <c r="Z54" i="1"/>
  <c r="Z56" i="1"/>
  <c r="AA54" i="1"/>
  <c r="AA56" i="1"/>
  <c r="AJ468" i="1"/>
  <c r="AJ57" i="1"/>
  <c r="AK468" i="1"/>
  <c r="AL438" i="1" s="1"/>
  <c r="F498" i="1"/>
  <c r="R498" i="1"/>
  <c r="Z498" i="1"/>
  <c r="P498" i="1"/>
  <c r="N498" i="1"/>
  <c r="V498" i="1"/>
  <c r="G498" i="1"/>
  <c r="AJ453" i="1"/>
  <c r="H498" i="1"/>
  <c r="T498" i="1"/>
  <c r="I498" i="1"/>
  <c r="J498" i="1"/>
  <c r="X498" i="1"/>
  <c r="L498" i="1"/>
  <c r="AJ463" i="1"/>
  <c r="AJ467" i="1"/>
  <c r="AJ8" i="1"/>
  <c r="AJ56" i="1" l="1"/>
  <c r="AJ457" i="1"/>
  <c r="F346" i="1"/>
  <c r="G346" i="1"/>
  <c r="H346" i="1"/>
  <c r="I346" i="1"/>
  <c r="J346" i="1"/>
  <c r="K346" i="1"/>
  <c r="L346" i="1"/>
  <c r="N346" i="1"/>
  <c r="P346" i="1"/>
  <c r="R346" i="1"/>
  <c r="T346" i="1"/>
  <c r="V346" i="1"/>
  <c r="X346" i="1"/>
  <c r="Z346" i="1"/>
  <c r="AJ434" i="1" l="1"/>
  <c r="AJ9" i="1"/>
  <c r="AJ10" i="1"/>
  <c r="K112" i="1" l="1"/>
  <c r="L112" i="1"/>
  <c r="M112" i="1"/>
  <c r="N112" i="1"/>
  <c r="O112" i="1"/>
  <c r="P112" i="1"/>
  <c r="Q112" i="1"/>
  <c r="R112" i="1"/>
  <c r="S112" i="1"/>
  <c r="T112" i="1"/>
  <c r="U112" i="1"/>
  <c r="V112" i="1"/>
  <c r="W112" i="1"/>
  <c r="X112" i="1"/>
  <c r="Y112" i="1"/>
  <c r="Z112" i="1"/>
  <c r="AA112" i="1"/>
  <c r="Y498" i="1" l="1"/>
  <c r="U498" i="1"/>
  <c r="Q498" i="1"/>
  <c r="M498" i="1"/>
  <c r="AA498" i="1"/>
  <c r="W498" i="1"/>
  <c r="S498" i="1"/>
  <c r="O498" i="1"/>
  <c r="AJ493" i="1"/>
  <c r="K498" i="1"/>
  <c r="AM375" i="1"/>
  <c r="AM374" i="1"/>
  <c r="E376" i="1"/>
  <c r="F376" i="1"/>
  <c r="G376" i="1"/>
  <c r="H376" i="1"/>
  <c r="I376" i="1"/>
  <c r="J376" i="1"/>
  <c r="K376" i="1"/>
  <c r="L376" i="1"/>
  <c r="M376" i="1"/>
  <c r="N376" i="1"/>
  <c r="O376" i="1"/>
  <c r="P376" i="1"/>
  <c r="Q376" i="1"/>
  <c r="R376" i="1"/>
  <c r="S376" i="1"/>
  <c r="T376" i="1"/>
  <c r="U376" i="1"/>
  <c r="V376" i="1"/>
  <c r="W376" i="1"/>
  <c r="X376" i="1"/>
  <c r="Y376" i="1"/>
  <c r="E383" i="1"/>
  <c r="F383" i="1"/>
  <c r="G383" i="1"/>
  <c r="H383" i="1"/>
  <c r="I383" i="1"/>
  <c r="J383" i="1"/>
  <c r="K383" i="1"/>
  <c r="L383" i="1"/>
  <c r="M383" i="1"/>
  <c r="N383" i="1"/>
  <c r="O383" i="1"/>
  <c r="P383" i="1"/>
  <c r="Q383" i="1"/>
  <c r="R383" i="1"/>
  <c r="S383" i="1"/>
  <c r="T383" i="1"/>
  <c r="U383" i="1"/>
  <c r="V383" i="1"/>
  <c r="W383" i="1"/>
  <c r="X383" i="1"/>
  <c r="Y383" i="1"/>
  <c r="AJ502" i="1" l="1"/>
  <c r="AJ498" i="1"/>
  <c r="AJ497" i="1"/>
  <c r="AK8" i="1"/>
  <c r="AK9" i="1"/>
  <c r="W429" i="1" l="1"/>
  <c r="AJ394" i="1"/>
  <c r="AJ395" i="1"/>
  <c r="AJ396" i="1"/>
  <c r="AJ397" i="1"/>
  <c r="AJ398" i="1"/>
  <c r="E391" i="1"/>
  <c r="F391" i="1"/>
  <c r="G391" i="1"/>
  <c r="H391" i="1"/>
  <c r="I391" i="1"/>
  <c r="J391" i="1"/>
  <c r="K391" i="1"/>
  <c r="L391" i="1"/>
  <c r="M391" i="1"/>
  <c r="N391" i="1"/>
  <c r="O391" i="1"/>
  <c r="P391" i="1"/>
  <c r="Q391" i="1"/>
  <c r="R391" i="1"/>
  <c r="S391" i="1"/>
  <c r="T391" i="1"/>
  <c r="U391" i="1"/>
  <c r="V391" i="1"/>
  <c r="W391" i="1"/>
  <c r="X391" i="1"/>
  <c r="Y391" i="1"/>
  <c r="Z391" i="1"/>
  <c r="AA391" i="1"/>
  <c r="D391" i="1"/>
  <c r="AJ334" i="1"/>
  <c r="AJ333" i="1"/>
  <c r="AJ337" i="1"/>
  <c r="AJ336" i="1"/>
  <c r="AJ331" i="1"/>
  <c r="AJ332" i="1"/>
  <c r="AJ304" i="1"/>
  <c r="AJ305" i="1"/>
  <c r="AJ151" i="1"/>
  <c r="AJ152" i="1"/>
  <c r="AJ153" i="1"/>
  <c r="AJ154" i="1"/>
  <c r="AJ150" i="1"/>
  <c r="AJ149" i="1"/>
  <c r="AJ135" i="1"/>
  <c r="AJ146" i="1"/>
  <c r="AJ136" i="1"/>
  <c r="AJ129" i="1"/>
  <c r="AJ130" i="1"/>
  <c r="AJ131" i="1"/>
  <c r="AJ133" i="1"/>
  <c r="AJ134" i="1"/>
  <c r="AJ126" i="1"/>
  <c r="AJ125" i="1"/>
  <c r="AJ128" i="1" l="1"/>
  <c r="D324" i="1"/>
  <c r="E390" i="1"/>
  <c r="F390" i="1"/>
  <c r="G390" i="1"/>
  <c r="H390" i="1"/>
  <c r="I390" i="1"/>
  <c r="J390" i="1"/>
  <c r="K390" i="1"/>
  <c r="L390" i="1"/>
  <c r="M390" i="1"/>
  <c r="N390" i="1"/>
  <c r="O390" i="1"/>
  <c r="P390" i="1"/>
  <c r="Q390" i="1"/>
  <c r="R390" i="1"/>
  <c r="S390" i="1"/>
  <c r="T390" i="1"/>
  <c r="U390" i="1"/>
  <c r="V390" i="1"/>
  <c r="W390" i="1"/>
  <c r="X390" i="1"/>
  <c r="Y390" i="1"/>
  <c r="Z390" i="1"/>
  <c r="AN391" i="1"/>
  <c r="D383" i="1"/>
  <c r="AK281" i="1" l="1"/>
  <c r="AK282" i="1"/>
  <c r="AK279" i="1"/>
  <c r="AK270" i="1"/>
  <c r="AK261" i="1"/>
  <c r="AK259" i="1"/>
  <c r="AK256" i="1"/>
  <c r="AK252" i="1"/>
  <c r="AK250" i="1"/>
  <c r="E265" i="1"/>
  <c r="F265" i="1"/>
  <c r="G265" i="1"/>
  <c r="H265" i="1"/>
  <c r="I265" i="1"/>
  <c r="J265" i="1"/>
  <c r="K265" i="1"/>
  <c r="L265" i="1"/>
  <c r="M265" i="1"/>
  <c r="N265" i="1"/>
  <c r="O265" i="1"/>
  <c r="P265" i="1"/>
  <c r="Q265" i="1"/>
  <c r="R265" i="1"/>
  <c r="S265" i="1"/>
  <c r="T265" i="1"/>
  <c r="U265" i="1"/>
  <c r="V265" i="1"/>
  <c r="W265" i="1"/>
  <c r="X265" i="1"/>
  <c r="Y265" i="1"/>
  <c r="Z265" i="1"/>
  <c r="AA265" i="1"/>
  <c r="D265" i="1"/>
  <c r="E247" i="1"/>
  <c r="F247" i="1"/>
  <c r="G247" i="1"/>
  <c r="H247" i="1"/>
  <c r="I247" i="1"/>
  <c r="J247" i="1"/>
  <c r="K247" i="1"/>
  <c r="L247" i="1"/>
  <c r="M247" i="1"/>
  <c r="N247" i="1"/>
  <c r="O247" i="1"/>
  <c r="P247" i="1"/>
  <c r="Q247" i="1"/>
  <c r="R247" i="1"/>
  <c r="S247" i="1"/>
  <c r="T247" i="1"/>
  <c r="U247" i="1"/>
  <c r="V247" i="1"/>
  <c r="W247" i="1"/>
  <c r="X247" i="1"/>
  <c r="Y247" i="1"/>
  <c r="Z247" i="1"/>
  <c r="AA247" i="1"/>
  <c r="D247" i="1"/>
  <c r="AA267" i="1"/>
  <c r="Z267" i="1"/>
  <c r="Y267" i="1"/>
  <c r="X267" i="1"/>
  <c r="W267" i="1"/>
  <c r="V267" i="1"/>
  <c r="U267" i="1"/>
  <c r="T267" i="1"/>
  <c r="S267" i="1"/>
  <c r="R267" i="1"/>
  <c r="Q267" i="1"/>
  <c r="P267" i="1"/>
  <c r="O267" i="1"/>
  <c r="N267" i="1"/>
  <c r="M267" i="1"/>
  <c r="L267" i="1"/>
  <c r="K267" i="1"/>
  <c r="J267" i="1"/>
  <c r="I267" i="1"/>
  <c r="H267" i="1"/>
  <c r="G267" i="1"/>
  <c r="F267" i="1"/>
  <c r="E267" i="1"/>
  <c r="D267" i="1"/>
  <c r="AA258" i="1"/>
  <c r="Z258" i="1"/>
  <c r="Y258" i="1"/>
  <c r="X258" i="1"/>
  <c r="W258" i="1"/>
  <c r="V258" i="1"/>
  <c r="U258" i="1"/>
  <c r="T258" i="1"/>
  <c r="S258" i="1"/>
  <c r="R258" i="1"/>
  <c r="Q258" i="1"/>
  <c r="P258" i="1"/>
  <c r="O258" i="1"/>
  <c r="N258" i="1"/>
  <c r="M258" i="1"/>
  <c r="L258" i="1"/>
  <c r="K258" i="1"/>
  <c r="J258" i="1"/>
  <c r="I258" i="1"/>
  <c r="H258" i="1"/>
  <c r="G258" i="1"/>
  <c r="F258" i="1"/>
  <c r="E258" i="1"/>
  <c r="D258" i="1"/>
  <c r="AJ256" i="1"/>
  <c r="AA249" i="1"/>
  <c r="Z249" i="1"/>
  <c r="Y249" i="1"/>
  <c r="X249" i="1"/>
  <c r="W249" i="1"/>
  <c r="V249" i="1"/>
  <c r="U249" i="1"/>
  <c r="T249" i="1"/>
  <c r="S249" i="1"/>
  <c r="R249" i="1"/>
  <c r="Q249" i="1"/>
  <c r="P249" i="1"/>
  <c r="O249" i="1"/>
  <c r="N249" i="1"/>
  <c r="M249" i="1"/>
  <c r="L249" i="1"/>
  <c r="K249" i="1"/>
  <c r="J249" i="1"/>
  <c r="I249" i="1"/>
  <c r="H249" i="1"/>
  <c r="G249" i="1"/>
  <c r="F249" i="1"/>
  <c r="E249" i="1"/>
  <c r="D249" i="1"/>
  <c r="AK268" i="1"/>
  <c r="AK243" i="1"/>
  <c r="AK241" i="1"/>
  <c r="E240" i="1"/>
  <c r="F240" i="1"/>
  <c r="G240" i="1"/>
  <c r="H240" i="1"/>
  <c r="I240" i="1"/>
  <c r="J240" i="1"/>
  <c r="K240" i="1"/>
  <c r="L240" i="1"/>
  <c r="M240" i="1"/>
  <c r="N240" i="1"/>
  <c r="O240" i="1"/>
  <c r="P240" i="1"/>
  <c r="Q240" i="1"/>
  <c r="R240" i="1"/>
  <c r="S240" i="1"/>
  <c r="T240" i="1"/>
  <c r="U240" i="1"/>
  <c r="V240" i="1"/>
  <c r="W240" i="1"/>
  <c r="X240" i="1"/>
  <c r="Y240" i="1"/>
  <c r="Z240" i="1"/>
  <c r="AA240" i="1"/>
  <c r="E238" i="1"/>
  <c r="F238" i="1"/>
  <c r="G238" i="1"/>
  <c r="H238" i="1"/>
  <c r="I238" i="1"/>
  <c r="J238" i="1"/>
  <c r="K238" i="1"/>
  <c r="L238" i="1"/>
  <c r="M238" i="1"/>
  <c r="N238" i="1"/>
  <c r="O238" i="1"/>
  <c r="P238" i="1"/>
  <c r="Q238" i="1"/>
  <c r="R238" i="1"/>
  <c r="S238" i="1"/>
  <c r="T238" i="1"/>
  <c r="U238" i="1"/>
  <c r="V238" i="1"/>
  <c r="W238" i="1"/>
  <c r="X238" i="1"/>
  <c r="Y238" i="1"/>
  <c r="Z238" i="1"/>
  <c r="AA238" i="1"/>
  <c r="D18" i="1"/>
  <c r="E18" i="1"/>
  <c r="AJ16" i="1"/>
  <c r="AJ17" i="1"/>
  <c r="AJ15" i="1"/>
  <c r="AJ12" i="1"/>
  <c r="AJ13" i="1"/>
  <c r="AJ238" i="1"/>
  <c r="D238" i="1"/>
  <c r="D14" i="1"/>
  <c r="E14" i="1"/>
  <c r="AJ276" i="1"/>
  <c r="AJ257" i="1"/>
  <c r="AJ259" i="1"/>
  <c r="AJ260" i="1"/>
  <c r="AJ261" i="1"/>
  <c r="AJ262" i="1"/>
  <c r="AJ263" i="1"/>
  <c r="AJ264" i="1"/>
  <c r="AJ266" i="1"/>
  <c r="AJ268" i="1"/>
  <c r="AJ269" i="1"/>
  <c r="AJ270" i="1"/>
  <c r="AJ271" i="1"/>
  <c r="AJ272" i="1"/>
  <c r="AJ273" i="1"/>
  <c r="AJ255" i="1"/>
  <c r="AJ248" i="1"/>
  <c r="AJ250" i="1"/>
  <c r="AJ251" i="1"/>
  <c r="AJ252" i="1"/>
  <c r="AJ253" i="1"/>
  <c r="AJ254" i="1"/>
  <c r="AJ246" i="1"/>
  <c r="D240" i="1"/>
  <c r="AJ241" i="1"/>
  <c r="AJ242" i="1"/>
  <c r="AJ243" i="1"/>
  <c r="AJ244" i="1"/>
  <c r="AJ245" i="1"/>
  <c r="G14" i="1"/>
  <c r="H14" i="1"/>
  <c r="I14" i="1"/>
  <c r="J14" i="1"/>
  <c r="K14" i="1"/>
  <c r="L14" i="1"/>
  <c r="M14" i="1"/>
  <c r="N14" i="1"/>
  <c r="O14" i="1"/>
  <c r="P14" i="1"/>
  <c r="Q14" i="1"/>
  <c r="R14" i="1"/>
  <c r="S14" i="1"/>
  <c r="T14" i="1"/>
  <c r="U14" i="1"/>
  <c r="V14" i="1"/>
  <c r="W14" i="1"/>
  <c r="X14" i="1"/>
  <c r="Y14" i="1"/>
  <c r="Z14" i="1"/>
  <c r="AA14" i="1"/>
  <c r="M222" i="1"/>
  <c r="AK220" i="1" s="1"/>
  <c r="AL211" i="1" s="1"/>
  <c r="F14" i="1"/>
  <c r="AJ18" i="1" l="1"/>
  <c r="AJ258" i="1"/>
  <c r="AJ267" i="1"/>
  <c r="AJ249" i="1"/>
  <c r="AK265" i="1"/>
  <c r="AL265" i="1" s="1"/>
  <c r="AJ247" i="1"/>
  <c r="AJ391" i="1"/>
  <c r="AK247" i="1"/>
  <c r="AL247" i="1" s="1"/>
  <c r="AJ14" i="1"/>
  <c r="AK238" i="1"/>
  <c r="AJ265" i="1"/>
  <c r="AL256" i="1"/>
  <c r="AK276" i="1"/>
  <c r="AK274" i="1"/>
  <c r="AJ240" i="1"/>
  <c r="AJ230" i="1"/>
  <c r="AJ214" i="1"/>
  <c r="AJ222" i="1"/>
  <c r="AK16" i="1"/>
  <c r="AK15" i="1"/>
  <c r="AK12" i="1"/>
  <c r="AK11" i="1"/>
  <c r="G18" i="1"/>
  <c r="H18" i="1"/>
  <c r="I18" i="1"/>
  <c r="J18" i="1"/>
  <c r="K18" i="1"/>
  <c r="L18" i="1"/>
  <c r="M18" i="1"/>
  <c r="N18" i="1"/>
  <c r="O18" i="1"/>
  <c r="P18" i="1"/>
  <c r="Q18" i="1"/>
  <c r="R18" i="1"/>
  <c r="S18" i="1"/>
  <c r="T18" i="1"/>
  <c r="U18" i="1"/>
  <c r="V18" i="1"/>
  <c r="W18" i="1"/>
  <c r="X18" i="1"/>
  <c r="Y18" i="1"/>
  <c r="Z18" i="1"/>
  <c r="AA18" i="1"/>
  <c r="F18" i="1"/>
  <c r="AL238" i="1" l="1"/>
  <c r="AK310" i="1"/>
  <c r="AK431" i="1" l="1"/>
  <c r="AK182" i="1"/>
  <c r="AM430" i="1"/>
  <c r="AK428" i="1"/>
  <c r="AK426" i="1"/>
  <c r="AK422" i="1"/>
  <c r="AK408" i="1"/>
  <c r="F334" i="4"/>
  <c r="E359" i="1"/>
  <c r="F359" i="1"/>
  <c r="G359" i="1"/>
  <c r="H359" i="1"/>
  <c r="I359" i="1"/>
  <c r="J359" i="1"/>
  <c r="K359" i="1"/>
  <c r="L359" i="1"/>
  <c r="M359" i="1"/>
  <c r="N359" i="1"/>
  <c r="O359" i="1"/>
  <c r="P359" i="1"/>
  <c r="Q359" i="1"/>
  <c r="R359" i="1"/>
  <c r="S359" i="1"/>
  <c r="T359" i="1"/>
  <c r="U359" i="1"/>
  <c r="V359" i="1"/>
  <c r="W359" i="1"/>
  <c r="X359" i="1"/>
  <c r="Y359" i="1"/>
  <c r="AK375" i="1"/>
  <c r="AK374" i="1"/>
  <c r="AJ377" i="1" l="1"/>
  <c r="AJ378" i="1"/>
  <c r="AJ380" i="1"/>
  <c r="AJ381" i="1"/>
  <c r="AJ382" i="1"/>
  <c r="AJ384" i="1"/>
  <c r="AJ373" i="1"/>
  <c r="AJ374" i="1"/>
  <c r="AJ375" i="1"/>
  <c r="AJ383" i="1" l="1"/>
  <c r="AK383" i="1"/>
  <c r="E372" i="1" l="1"/>
  <c r="F372" i="1"/>
  <c r="G372" i="1"/>
  <c r="H372" i="1"/>
  <c r="I372" i="1"/>
  <c r="J372" i="1"/>
  <c r="K372" i="1"/>
  <c r="L372" i="1"/>
  <c r="M372" i="1"/>
  <c r="N372" i="1"/>
  <c r="O372" i="1"/>
  <c r="P372" i="1"/>
  <c r="Q372" i="1"/>
  <c r="R372" i="1"/>
  <c r="S372" i="1"/>
  <c r="T372" i="1"/>
  <c r="U372" i="1"/>
  <c r="V372" i="1"/>
  <c r="W372" i="1"/>
  <c r="X372" i="1"/>
  <c r="Y372" i="1"/>
  <c r="D359" i="1"/>
  <c r="AK186" i="1" s="1"/>
  <c r="AJ347" i="1"/>
  <c r="AJ348" i="1"/>
  <c r="AJ349" i="1"/>
  <c r="AJ350" i="1"/>
  <c r="AJ351" i="1"/>
  <c r="AJ352" i="1"/>
  <c r="AK358" i="1" l="1"/>
  <c r="AK336" i="1"/>
  <c r="AK334" i="1"/>
  <c r="AK333" i="1"/>
  <c r="AM329" i="1" l="1"/>
  <c r="AM328" i="1"/>
  <c r="AK293" i="1"/>
  <c r="D318" i="1"/>
  <c r="D321" i="1"/>
  <c r="AM320" i="1"/>
  <c r="AM319" i="1"/>
  <c r="AK319" i="1"/>
  <c r="AK320" i="1"/>
  <c r="AK317" i="1"/>
  <c r="AK316" i="1"/>
  <c r="AK314" i="1"/>
  <c r="E321" i="1"/>
  <c r="E318" i="1"/>
  <c r="AK308" i="1"/>
  <c r="AK306" i="1"/>
  <c r="AK304" i="1"/>
  <c r="AK321" i="1" l="1"/>
  <c r="AM321" i="1"/>
  <c r="AJ321" i="1"/>
  <c r="AM293" i="1" l="1"/>
  <c r="AN292" i="1" s="1"/>
  <c r="AK300" i="1"/>
  <c r="AK298" i="1"/>
  <c r="AK184" i="1"/>
  <c r="AK183" i="1"/>
  <c r="K148" i="1"/>
  <c r="L148" i="1"/>
  <c r="M148" i="1"/>
  <c r="N148" i="1"/>
  <c r="O148" i="1"/>
  <c r="P148" i="1"/>
  <c r="Q148" i="1"/>
  <c r="R148" i="1"/>
  <c r="S148" i="1"/>
  <c r="T148" i="1"/>
  <c r="U148" i="1"/>
  <c r="V148" i="1"/>
  <c r="W148" i="1"/>
  <c r="X148" i="1"/>
  <c r="Y148" i="1"/>
  <c r="Z148" i="1"/>
  <c r="AA148" i="1"/>
  <c r="J148" i="1"/>
  <c r="AK124" i="1"/>
  <c r="AK49" i="1"/>
  <c r="AK47" i="1"/>
  <c r="AK45" i="1"/>
  <c r="AK43" i="1"/>
  <c r="AK41" i="1"/>
  <c r="AK39" i="1"/>
  <c r="AK37" i="1"/>
  <c r="AK35" i="1"/>
  <c r="AK27" i="1"/>
  <c r="AM24" i="1"/>
  <c r="AK22" i="1"/>
  <c r="AJ148" i="1" l="1"/>
  <c r="AJ392" i="1" l="1"/>
  <c r="D390" i="1"/>
  <c r="AK389" i="1" s="1"/>
  <c r="AJ388" i="1"/>
  <c r="D376" i="1"/>
  <c r="AK384" i="1" s="1"/>
  <c r="AJ389" i="1"/>
  <c r="D346" i="1"/>
  <c r="AJ358" i="1"/>
  <c r="AK324" i="1" l="1"/>
  <c r="AK328" i="1"/>
  <c r="D379" i="1"/>
  <c r="AJ376" i="1"/>
  <c r="AJ393" i="1"/>
  <c r="AJ390" i="1"/>
  <c r="AJ379" i="1" l="1"/>
  <c r="AK379" i="1"/>
  <c r="AK390" i="1"/>
  <c r="AM379" i="1"/>
  <c r="AN374" i="1" s="1"/>
  <c r="AJ426" i="1"/>
  <c r="AJ428" i="1"/>
  <c r="AJ430" i="1"/>
  <c r="AJ431" i="1"/>
  <c r="F432" i="1"/>
  <c r="G432" i="1"/>
  <c r="H432" i="1"/>
  <c r="I432" i="1"/>
  <c r="J432" i="1"/>
  <c r="K432" i="1"/>
  <c r="L432" i="1"/>
  <c r="M432" i="1"/>
  <c r="N432" i="1"/>
  <c r="O432" i="1"/>
  <c r="P432" i="1"/>
  <c r="Q432" i="1"/>
  <c r="R432" i="1"/>
  <c r="S432" i="1"/>
  <c r="T432" i="1"/>
  <c r="U432" i="1"/>
  <c r="V432" i="1"/>
  <c r="W432" i="1"/>
  <c r="X432" i="1"/>
  <c r="Y432" i="1"/>
  <c r="F429" i="1"/>
  <c r="G429" i="1"/>
  <c r="H429" i="1"/>
  <c r="I429" i="1"/>
  <c r="J429" i="1"/>
  <c r="K429" i="1"/>
  <c r="L429" i="1"/>
  <c r="M429" i="1"/>
  <c r="N429" i="1"/>
  <c r="O429" i="1"/>
  <c r="P429" i="1"/>
  <c r="Q429" i="1"/>
  <c r="R429" i="1"/>
  <c r="S429" i="1"/>
  <c r="T429" i="1"/>
  <c r="U429" i="1"/>
  <c r="V429" i="1"/>
  <c r="X429" i="1"/>
  <c r="Y429" i="1"/>
  <c r="AK427" i="1"/>
  <c r="AM425" i="1"/>
  <c r="AJ423" i="1"/>
  <c r="AJ422" i="1"/>
  <c r="AJ239" i="1"/>
  <c r="AJ274" i="1"/>
  <c r="AJ324" i="1"/>
  <c r="AJ311" i="1"/>
  <c r="AJ314" i="1"/>
  <c r="AJ315" i="1"/>
  <c r="AJ316" i="1"/>
  <c r="AJ317" i="1"/>
  <c r="AJ319" i="1"/>
  <c r="AJ320" i="1"/>
  <c r="AJ322" i="1"/>
  <c r="AJ323" i="1"/>
  <c r="AJ300" i="1"/>
  <c r="AJ301" i="1"/>
  <c r="AJ302" i="1"/>
  <c r="AJ303" i="1"/>
  <c r="AJ306" i="1"/>
  <c r="AJ307" i="1"/>
  <c r="AJ308" i="1"/>
  <c r="AJ309" i="1"/>
  <c r="AJ310" i="1"/>
  <c r="AJ298" i="1"/>
  <c r="AJ318" i="1"/>
  <c r="AM434" i="1" l="1"/>
  <c r="AN422" i="1"/>
  <c r="AK432" i="1"/>
  <c r="AL422" i="1" s="1"/>
  <c r="AJ425" i="1"/>
  <c r="AJ432" i="1"/>
  <c r="AJ429" i="1"/>
  <c r="Y330" i="1"/>
  <c r="W330" i="1"/>
  <c r="U330" i="1"/>
  <c r="S330" i="1"/>
  <c r="Q330" i="1"/>
  <c r="O330" i="1"/>
  <c r="M330" i="1"/>
  <c r="K330" i="1"/>
  <c r="AJ330" i="1" l="1"/>
  <c r="Y297" i="1"/>
  <c r="W297" i="1"/>
  <c r="U297" i="1"/>
  <c r="S297" i="1"/>
  <c r="Q297" i="1"/>
  <c r="O297" i="1"/>
  <c r="M297" i="1"/>
  <c r="K297" i="1"/>
  <c r="Y296" i="1"/>
  <c r="W296" i="1"/>
  <c r="U296" i="1"/>
  <c r="S296" i="1"/>
  <c r="Q296" i="1"/>
  <c r="O296" i="1"/>
  <c r="M296" i="1"/>
  <c r="K296" i="1"/>
  <c r="AJ296" i="1" l="1"/>
  <c r="AJ297" i="1"/>
  <c r="AJ409" i="1" l="1"/>
  <c r="AJ410" i="1"/>
  <c r="AJ411" i="1"/>
  <c r="AJ412" i="1"/>
  <c r="D413" i="1" l="1"/>
  <c r="E413" i="1"/>
  <c r="F413" i="1"/>
  <c r="G413" i="1"/>
  <c r="H413" i="1"/>
  <c r="I413" i="1"/>
  <c r="J413" i="1"/>
  <c r="K413" i="1"/>
  <c r="L413" i="1"/>
  <c r="M413" i="1"/>
  <c r="N413" i="1"/>
  <c r="O413" i="1"/>
  <c r="P413" i="1"/>
  <c r="Q413" i="1"/>
  <c r="R413" i="1"/>
  <c r="S413" i="1"/>
  <c r="T413" i="1"/>
  <c r="U413" i="1"/>
  <c r="V413" i="1"/>
  <c r="W413" i="1"/>
  <c r="X413" i="1"/>
  <c r="Y413" i="1"/>
  <c r="Z413" i="1"/>
  <c r="AA413" i="1"/>
  <c r="AN402" i="1" l="1"/>
  <c r="AJ353" i="1" l="1"/>
  <c r="AJ360" i="1"/>
  <c r="AJ361" i="1"/>
  <c r="AJ362" i="1"/>
  <c r="AJ363" i="1"/>
  <c r="AJ364" i="1"/>
  <c r="AJ365" i="1"/>
  <c r="AJ366" i="1"/>
  <c r="AJ367" i="1"/>
  <c r="AJ368" i="1"/>
  <c r="AJ369" i="1"/>
  <c r="AJ370" i="1"/>
  <c r="AJ371" i="1"/>
  <c r="AJ402" i="1"/>
  <c r="AJ403" i="1"/>
  <c r="AJ404" i="1"/>
  <c r="AJ405" i="1"/>
  <c r="AJ406" i="1"/>
  <c r="AJ407" i="1"/>
  <c r="AJ408" i="1"/>
  <c r="D372" i="1"/>
  <c r="AK359" i="1" l="1"/>
  <c r="AJ372" i="1"/>
  <c r="AJ359" i="1"/>
  <c r="AK378" i="1" s="1"/>
  <c r="AL374" i="1" s="1"/>
  <c r="AN111" i="1" l="1"/>
  <c r="AN182" i="1"/>
  <c r="AN211" i="1"/>
  <c r="AN238" i="1"/>
  <c r="AM36" i="1"/>
  <c r="AJ346" i="1"/>
  <c r="AJ413" i="1"/>
  <c r="AJ414" i="1"/>
  <c r="AJ415" i="1"/>
  <c r="AJ416" i="1"/>
  <c r="AJ417" i="1"/>
  <c r="AJ418" i="1"/>
  <c r="AJ419" i="1"/>
  <c r="AJ420" i="1"/>
  <c r="AJ329" i="1"/>
  <c r="AJ335" i="1"/>
  <c r="AM335" i="1" s="1"/>
  <c r="AJ339" i="1"/>
  <c r="AJ340" i="1"/>
  <c r="AJ341" i="1"/>
  <c r="AJ342" i="1"/>
  <c r="AJ328" i="1"/>
  <c r="AJ293" i="1"/>
  <c r="AJ294" i="1"/>
  <c r="AJ295" i="1"/>
  <c r="AJ299" i="1"/>
  <c r="AJ292" i="1"/>
  <c r="AJ275" i="1"/>
  <c r="AJ277" i="1"/>
  <c r="AJ278" i="1"/>
  <c r="AK278" i="1" s="1"/>
  <c r="AJ279" i="1"/>
  <c r="AJ280" i="1"/>
  <c r="AJ281" i="1"/>
  <c r="AJ282" i="1"/>
  <c r="AJ283" i="1"/>
  <c r="AJ284" i="1"/>
  <c r="AJ285" i="1"/>
  <c r="AJ286" i="1"/>
  <c r="AJ287" i="1"/>
  <c r="AJ288" i="1"/>
  <c r="AJ212" i="1"/>
  <c r="AJ213" i="1"/>
  <c r="AJ216" i="1"/>
  <c r="AJ217" i="1"/>
  <c r="AJ218" i="1"/>
  <c r="AJ219" i="1"/>
  <c r="AJ220" i="1"/>
  <c r="AJ221" i="1"/>
  <c r="AJ224" i="1"/>
  <c r="AJ225" i="1"/>
  <c r="AJ226" i="1"/>
  <c r="AJ227" i="1"/>
  <c r="AJ228" i="1"/>
  <c r="AJ229" i="1"/>
  <c r="AJ232" i="1"/>
  <c r="AJ233" i="1"/>
  <c r="AJ234" i="1"/>
  <c r="AJ211" i="1"/>
  <c r="AJ112" i="1"/>
  <c r="AJ113" i="1"/>
  <c r="AJ114" i="1"/>
  <c r="AJ111" i="1"/>
  <c r="AJ127" i="1"/>
  <c r="AJ155" i="1"/>
  <c r="AJ156" i="1"/>
  <c r="AJ124" i="1"/>
  <c r="AJ183" i="1"/>
  <c r="AJ184" i="1"/>
  <c r="AJ185" i="1"/>
  <c r="AJ186" i="1"/>
  <c r="AJ187" i="1"/>
  <c r="AJ188" i="1"/>
  <c r="AJ189" i="1"/>
  <c r="AJ190" i="1"/>
  <c r="AJ191" i="1"/>
  <c r="AJ192" i="1"/>
  <c r="AJ193" i="1"/>
  <c r="AJ182" i="1"/>
  <c r="AJ29" i="1"/>
  <c r="AJ30" i="1"/>
  <c r="AJ31" i="1"/>
  <c r="AJ33" i="1"/>
  <c r="AJ34" i="1"/>
  <c r="AJ35" i="1"/>
  <c r="AJ36" i="1"/>
  <c r="AJ37" i="1"/>
  <c r="AJ38" i="1"/>
  <c r="AJ39" i="1"/>
  <c r="AJ40" i="1"/>
  <c r="AJ41" i="1"/>
  <c r="AJ42" i="1"/>
  <c r="AJ43" i="1"/>
  <c r="AJ44" i="1"/>
  <c r="AJ45" i="1"/>
  <c r="AJ46" i="1"/>
  <c r="AJ47" i="1"/>
  <c r="AJ48" i="1"/>
  <c r="AJ49" i="1"/>
  <c r="AJ50" i="1"/>
  <c r="AJ22" i="1"/>
  <c r="AJ23" i="1"/>
  <c r="AJ24" i="1"/>
  <c r="AK24" i="1" s="1"/>
  <c r="AJ25" i="1"/>
  <c r="AJ27" i="1"/>
  <c r="AJ28" i="1"/>
  <c r="AM57" i="1" l="1"/>
  <c r="AM56" i="1"/>
  <c r="AM341" i="1"/>
  <c r="AK341" i="1"/>
  <c r="AK280" i="1"/>
  <c r="AM318" i="1"/>
  <c r="AN316" i="1" s="1"/>
  <c r="AL8" i="1"/>
  <c r="AL316" i="1"/>
  <c r="AK329" i="1"/>
  <c r="AK292" i="1"/>
  <c r="AN124" i="1"/>
  <c r="AK295" i="1"/>
  <c r="AK54" i="1"/>
  <c r="AK288" i="1"/>
  <c r="AM49" i="1"/>
  <c r="AK155" i="1"/>
  <c r="AM33" i="1"/>
  <c r="AK353" i="1"/>
  <c r="AM47" i="1"/>
  <c r="AM43" i="1"/>
  <c r="AM39" i="1"/>
  <c r="AK283" i="1"/>
  <c r="AK287" i="1"/>
  <c r="AK33" i="1"/>
  <c r="AL402" i="1"/>
  <c r="AM45" i="1"/>
  <c r="AM37" i="1"/>
  <c r="AJ55" i="1"/>
  <c r="AJ54" i="1"/>
  <c r="AN8" i="1" s="1"/>
  <c r="AK285" i="1"/>
  <c r="AK302" i="1"/>
  <c r="AK294" i="1"/>
  <c r="AM35" i="1"/>
  <c r="AK185" i="1"/>
  <c r="AL181" i="1" s="1"/>
  <c r="AM55" i="1"/>
  <c r="AM27" i="1"/>
  <c r="AM41" i="1"/>
  <c r="AM54" i="1"/>
  <c r="AM353" i="1"/>
  <c r="AN346" i="1" s="1"/>
  <c r="AM342" i="1"/>
  <c r="AK335" i="1"/>
  <c r="AL22" i="1" l="1"/>
  <c r="AL274" i="1"/>
  <c r="AL292" i="1"/>
  <c r="AL328" i="1"/>
  <c r="AN328" i="1"/>
  <c r="AN22" i="1"/>
  <c r="A507" i="1" l="1"/>
  <c r="AL6" i="1" s="1"/>
  <c r="A529" i="1"/>
  <c r="AN6" i="1" s="1"/>
  <c r="M507" i="1" l="1"/>
</calcChain>
</file>

<file path=xl/sharedStrings.xml><?xml version="1.0" encoding="utf-8"?>
<sst xmlns="http://schemas.openxmlformats.org/spreadsheetml/2006/main" count="3189" uniqueCount="1349">
  <si>
    <t>&lt; 1</t>
  </si>
  <si>
    <t>1-4</t>
  </si>
  <si>
    <t>5-9</t>
  </si>
  <si>
    <t>10-14</t>
  </si>
  <si>
    <t>15-19</t>
  </si>
  <si>
    <t>20-24</t>
  </si>
  <si>
    <t>25-29</t>
  </si>
  <si>
    <t>30-34</t>
  </si>
  <si>
    <t>35-39</t>
  </si>
  <si>
    <t>50+</t>
  </si>
  <si>
    <t>M</t>
  </si>
  <si>
    <t>F</t>
  </si>
  <si>
    <t>1.1 HIV Testing</t>
  </si>
  <si>
    <t>PITC-Emergency</t>
  </si>
  <si>
    <t>PITC-Inpatient</t>
  </si>
  <si>
    <t>PITC-Malnutrition</t>
  </si>
  <si>
    <t>PITC-STI</t>
  </si>
  <si>
    <t xml:space="preserve">PITC-TB </t>
  </si>
  <si>
    <t>VCT</t>
  </si>
  <si>
    <t>Sub Total</t>
  </si>
  <si>
    <t>Test kits distributed</t>
  </si>
  <si>
    <t>Other</t>
  </si>
  <si>
    <t>Other PITC</t>
  </si>
  <si>
    <t>40-44</t>
  </si>
  <si>
    <t>45-49</t>
  </si>
  <si>
    <t>Post Treatment follow-up</t>
  </si>
  <si>
    <t>Others</t>
  </si>
  <si>
    <t>Outcomes for LTFU</t>
  </si>
  <si>
    <t>Number discontinued</t>
  </si>
  <si>
    <t>Number lost to follow-up</t>
  </si>
  <si>
    <t>Number died</t>
  </si>
  <si>
    <t>Number transferred out</t>
  </si>
  <si>
    <t>First time screening &amp; treatment</t>
  </si>
  <si>
    <t>Sexual violence</t>
  </si>
  <si>
    <t>Physical &amp; emotional</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</si>
  <si>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</si>
  <si>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</si>
  <si>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</si>
  <si>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</si>
  <si>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</si>
  <si>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</si>
  <si>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</si>
  <si>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</si>
  <si>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</si>
  <si>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</si>
  <si>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</si>
  <si>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</si>
  <si>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</si>
  <si>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</si>
  <si>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</si>
  <si>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</si>
  <si>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</si>
  <si>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</si>
  <si>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</si>
  <si>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</si>
  <si>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</si>
  <si>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</si>
  <si>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</si>
  <si>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</si>
  <si>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</si>
  <si>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</si>
  <si>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</si>
  <si>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</si>
  <si>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</si>
  <si>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</si>
  <si>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</si>
  <si>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women newly started ART for treatment and were breastfeeding at initiation of ART</t>
  </si>
  <si>
    <t>A count of patients confirmed as dead by direct observation or by unambiguous report of family or close contact (neighbors, co-workers, etc.); it should not be presumed.</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</si>
  <si>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</si>
  <si>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</si>
  <si>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</si>
  <si>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</si>
  <si>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</si>
  <si>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</si>
  <si>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</si>
  <si>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PLHIV newly enrolled in HIV clinical care who start IPT and receive at least one dose six months ago when newly starting ART while they were previously receiving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</si>
  <si>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</si>
  <si>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</si>
  <si>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</si>
  <si>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</si>
  <si>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</si>
  <si>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</si>
  <si>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</si>
  <si>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</si>
  <si>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</si>
  <si>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</si>
  <si>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</si>
  <si>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</si>
  <si>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</si>
  <si>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</si>
  <si>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</si>
  <si>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</si>
  <si>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</si>
  <si>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</si>
  <si>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</si>
  <si>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</si>
  <si>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</si>
  <si>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</si>
  <si>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</si>
  <si>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</si>
  <si>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</si>
  <si>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</si>
  <si>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</si>
  <si>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</si>
  <si>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</si>
  <si>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</si>
  <si>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</si>
  <si>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</si>
  <si>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</si>
  <si>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</si>
  <si>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</si>
  <si>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Partner testing</t>
  </si>
  <si>
    <t>2.0  PrEP NEW &amp; CURRENT</t>
  </si>
  <si>
    <t xml:space="preserve">4.0  CERVICAL CANCER SCREENING &amp; TREATMENT </t>
  </si>
  <si>
    <t>5.0 GEND_GBV</t>
  </si>
  <si>
    <t xml:space="preserve">6.2 MATERNAL HAART </t>
  </si>
  <si>
    <t xml:space="preserve">6.1  PMTCT TESTING </t>
  </si>
  <si>
    <t>7.0  HIV &amp; TB SCREENING</t>
  </si>
  <si>
    <t>8.0 ACCOUNTING FOR ART PATIENTS WITH NO CLINICAL CONTACT</t>
  </si>
  <si>
    <t>Data source</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</si>
  <si>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</si>
  <si>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</si>
  <si>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</si>
  <si>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</si>
  <si>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This is a count of clients who initiated on PEP three months ago, e.g reporting in January 2019, those initiated on PEP in Nov 2018</t>
  </si>
  <si>
    <t>This is a count of women who had not been on HAART before but were commenced on HAART at  L&amp;D during this pregnancy.</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</si>
  <si>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</si>
  <si>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</si>
  <si>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MFL Code</t>
  </si>
  <si>
    <t>F01-01</t>
  </si>
  <si>
    <t>codes</t>
  </si>
  <si>
    <t>F01-02</t>
  </si>
  <si>
    <t>Contacts elicited</t>
  </si>
  <si>
    <t>Known Positive</t>
  </si>
  <si>
    <t>F01-04</t>
  </si>
  <si>
    <t>F01-05</t>
  </si>
  <si>
    <t>This is account of contacts of an index client, tested through index testing services and received results</t>
  </si>
  <si>
    <t>F01-06</t>
  </si>
  <si>
    <t>Positive</t>
  </si>
  <si>
    <t>Linked</t>
  </si>
  <si>
    <t>F01-07</t>
  </si>
  <si>
    <t>F01-08</t>
  </si>
  <si>
    <t>Not tested - Other reasons</t>
  </si>
  <si>
    <t>F01-09</t>
  </si>
  <si>
    <t>Index testing register, colm "Y"</t>
  </si>
  <si>
    <t>F01-10</t>
  </si>
  <si>
    <t>Tested</t>
  </si>
  <si>
    <t>F01-11</t>
  </si>
  <si>
    <t>F01-12</t>
  </si>
  <si>
    <t>F01-13</t>
  </si>
  <si>
    <t>F01-14</t>
  </si>
  <si>
    <t>F01-15</t>
  </si>
  <si>
    <t>F01-16</t>
  </si>
  <si>
    <t>F01-17</t>
  </si>
  <si>
    <t>F01-18</t>
  </si>
  <si>
    <t>F01-19</t>
  </si>
  <si>
    <t>F01-21</t>
  </si>
  <si>
    <t>F01-22</t>
  </si>
  <si>
    <t>F01-23</t>
  </si>
  <si>
    <t>F01-24</t>
  </si>
  <si>
    <t>F01-25</t>
  </si>
  <si>
    <t>F01-27</t>
  </si>
  <si>
    <t>F01-30</t>
  </si>
  <si>
    <t xml:space="preserve">Unassisted                                   </t>
  </si>
  <si>
    <t>F01-31</t>
  </si>
  <si>
    <t>F01-32</t>
  </si>
  <si>
    <t>F01-33</t>
  </si>
  <si>
    <t>F01-34</t>
  </si>
  <si>
    <t>FCDRR- MOH 643</t>
  </si>
  <si>
    <t xml:space="preserve">Rape survivors                         </t>
  </si>
  <si>
    <t>F05-02</t>
  </si>
  <si>
    <t>F05-01</t>
  </si>
  <si>
    <t>F02-01</t>
  </si>
  <si>
    <t>F02-02</t>
  </si>
  <si>
    <t>F02-03</t>
  </si>
  <si>
    <t>F02-05</t>
  </si>
  <si>
    <t>F02-06</t>
  </si>
  <si>
    <t>F02-07</t>
  </si>
  <si>
    <t>F02-11</t>
  </si>
  <si>
    <t>F02-12</t>
  </si>
  <si>
    <t>F02-13</t>
  </si>
  <si>
    <t>F02-14</t>
  </si>
  <si>
    <t>F02-15</t>
  </si>
  <si>
    <t>PrEP register      colm "Q"</t>
  </si>
  <si>
    <t>PrEP register      colm "H"</t>
  </si>
  <si>
    <t>PrEP register      colm "I"</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</si>
  <si>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</si>
  <si>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</si>
  <si>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</si>
  <si>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</si>
  <si>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</si>
  <si>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</si>
  <si>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</si>
  <si>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</si>
  <si>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</si>
  <si>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</si>
  <si>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</si>
  <si>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</si>
  <si>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</si>
  <si>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</si>
  <si>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</si>
  <si>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</si>
  <si>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F04-02</t>
  </si>
  <si>
    <t xml:space="preserve">Positive                                     </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</si>
  <si>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</si>
  <si>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</si>
  <si>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</si>
  <si>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</si>
  <si>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</si>
  <si>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</si>
  <si>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</si>
  <si>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</si>
  <si>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</si>
  <si>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</si>
  <si>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</si>
  <si>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Negative                                   </t>
  </si>
  <si>
    <t xml:space="preserve">Suspected cancer                     </t>
  </si>
  <si>
    <t>F04-09</t>
  </si>
  <si>
    <t>F04-10</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</si>
  <si>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</si>
  <si>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</si>
  <si>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</si>
  <si>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</si>
  <si>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</si>
  <si>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</si>
  <si>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</si>
  <si>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</si>
  <si>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</si>
  <si>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F04-16</t>
  </si>
  <si>
    <t>F05-03</t>
  </si>
  <si>
    <t>SGBV register colm "F"</t>
  </si>
  <si>
    <t>SGBV register colm "AF"</t>
  </si>
  <si>
    <t xml:space="preserve">Initiated PEP                            </t>
  </si>
  <si>
    <t>F05-04</t>
  </si>
  <si>
    <t>F05-05</t>
  </si>
  <si>
    <t>F05-06</t>
  </si>
  <si>
    <t>F05-07</t>
  </si>
  <si>
    <t>F05-08</t>
  </si>
  <si>
    <t>F05-09</t>
  </si>
  <si>
    <t>F05-10</t>
  </si>
  <si>
    <t>F05-11</t>
  </si>
  <si>
    <t>F05-12</t>
  </si>
  <si>
    <t>F05-13</t>
  </si>
  <si>
    <t>SGBV register colm "W, "X", "Y", "Z", "AC", "AD"</t>
  </si>
  <si>
    <t>SGBV register colm "AG"</t>
  </si>
  <si>
    <t>SGBV register colm "AE"</t>
  </si>
  <si>
    <t xml:space="preserve">SGBV register colm "AE" </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</si>
  <si>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</si>
  <si>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</si>
  <si>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</si>
  <si>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</si>
  <si>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</si>
  <si>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</si>
  <si>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F06-02</t>
  </si>
  <si>
    <t>F06-03</t>
  </si>
  <si>
    <t>ANC Rgister colm "d"</t>
  </si>
  <si>
    <t>ANC Rgister colm "x"</t>
  </si>
  <si>
    <t>ANC Rgister colm "y"</t>
  </si>
  <si>
    <t>ANC Rgister colm "d", "y", "z"</t>
  </si>
  <si>
    <t>F06-05</t>
  </si>
  <si>
    <t>F06-06</t>
  </si>
  <si>
    <t>F06-09</t>
  </si>
  <si>
    <t>PNC register colm "v", "w", 'x", "z"</t>
  </si>
  <si>
    <t>F06-10</t>
  </si>
  <si>
    <t>F06-11</t>
  </si>
  <si>
    <t>F06-12</t>
  </si>
  <si>
    <t>ANC Register colm "as", "at"</t>
  </si>
  <si>
    <t>Current on ART (PMTCT)</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</si>
  <si>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</si>
  <si>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</si>
  <si>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</si>
  <si>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</si>
  <si>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</si>
  <si>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Maternity register colm "aj"</t>
  </si>
  <si>
    <t>PNC register colm "ab"</t>
  </si>
  <si>
    <t>Starting ART</t>
  </si>
  <si>
    <t>F07-01</t>
  </si>
  <si>
    <t>F07-02</t>
  </si>
  <si>
    <t>This is a count of  all PLHIV who are active on ART at the reporting period</t>
  </si>
  <si>
    <t>F07-03</t>
  </si>
  <si>
    <t>DAR MOH 366/EMR</t>
  </si>
  <si>
    <t>F07-04</t>
  </si>
  <si>
    <t>F08-01</t>
  </si>
  <si>
    <t>Defaulter tracing register  colm "u"</t>
  </si>
  <si>
    <t>F08-03</t>
  </si>
  <si>
    <t>F08-05</t>
  </si>
  <si>
    <t>F08-06</t>
  </si>
  <si>
    <t>F08-07</t>
  </si>
  <si>
    <t>F08-08</t>
  </si>
  <si>
    <t>F08-09</t>
  </si>
  <si>
    <t>F08-10</t>
  </si>
  <si>
    <t>F08-11</t>
  </si>
  <si>
    <t>Defaulter tracing register  colm "w"</t>
  </si>
  <si>
    <t xml:space="preserve">Defaulter tracing register  colm "u" and "aa". Cause of death recorded under remarks. 
Triangulate with transitioned patient status form </t>
  </si>
  <si>
    <t>HIV disease resulting in TB</t>
  </si>
  <si>
    <t>Other HIV disease, resulting in other diseases or conditions leading to death</t>
  </si>
  <si>
    <t>Non-natural causes</t>
  </si>
  <si>
    <t>Unknown Cause</t>
  </si>
  <si>
    <t xml:space="preserve">This is a count of clients that have had serious and minor assault, deprivation of liberty, manslaughter, </t>
  </si>
  <si>
    <t>F05-14</t>
  </si>
  <si>
    <t>F05-15</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</si>
  <si>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</si>
  <si>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</si>
  <si>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</si>
  <si>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</si>
  <si>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t>Code</t>
  </si>
  <si>
    <t xml:space="preserve">Unassisted: Self                           </t>
  </si>
  <si>
    <t xml:space="preserve">Unassisted : Other                      </t>
  </si>
  <si>
    <t xml:space="preserve">Discordant couples at  HTS       </t>
  </si>
  <si>
    <t xml:space="preserve">New on ART                               </t>
  </si>
  <si>
    <t xml:space="preserve">Previously on ART                     </t>
  </si>
  <si>
    <t xml:space="preserve">Previously on ART                      </t>
  </si>
  <si>
    <t xml:space="preserve">Cryotherapy                             </t>
  </si>
  <si>
    <t xml:space="preserve">Tested for STI                          </t>
  </si>
  <si>
    <t xml:space="preserve">Eligible for Emergency Contraceptive  </t>
  </si>
  <si>
    <t xml:space="preserve">Given Emergency Contraceptive Pill  </t>
  </si>
  <si>
    <t xml:space="preserve">Initial test at  L&amp;D                     </t>
  </si>
  <si>
    <t xml:space="preserve">Male partners tested HIV+ at ANC </t>
  </si>
  <si>
    <t xml:space="preserve">Infant Prophylaxis_ L&amp;D            </t>
  </si>
  <si>
    <t xml:space="preserve">Died (confirmed) </t>
  </si>
  <si>
    <t xml:space="preserve">HIV disease resulting in cancer      </t>
  </si>
  <si>
    <t>Sub-Indicator</t>
  </si>
  <si>
    <t>F01-03</t>
  </si>
  <si>
    <t>F01-20</t>
  </si>
  <si>
    <t>F01-26</t>
  </si>
  <si>
    <t>F01-28</t>
  </si>
  <si>
    <t>F01-29</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</si>
  <si>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</si>
  <si>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</si>
  <si>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</si>
  <si>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</si>
  <si>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</si>
  <si>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</si>
  <si>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</si>
  <si>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</si>
  <si>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</si>
  <si>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</si>
  <si>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</si>
  <si>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</si>
  <si>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</si>
  <si>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</si>
  <si>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</si>
  <si>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</si>
  <si>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</si>
  <si>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</si>
  <si>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</si>
  <si>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</si>
  <si>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</si>
  <si>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</si>
  <si>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</si>
  <si>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</si>
  <si>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</si>
  <si>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</si>
  <si>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</si>
  <si>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</si>
  <si>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</si>
  <si>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</si>
  <si>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</si>
  <si>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</si>
  <si>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t>WARNINGS &amp; ERRORS</t>
  </si>
  <si>
    <t>Errors per Section</t>
  </si>
  <si>
    <t>Early Warning Service Quality</t>
  </si>
  <si>
    <t>County</t>
  </si>
  <si>
    <t>LTFU returning to care</t>
  </si>
  <si>
    <t>People who inject drugs (PWID)</t>
  </si>
  <si>
    <t>Men who have sex with men (MSM)</t>
  </si>
  <si>
    <t>Transgender people (TG)</t>
  </si>
  <si>
    <t>Female sex workers (FSW)</t>
  </si>
  <si>
    <t>People in prison and other closed settings</t>
  </si>
  <si>
    <t>General Population</t>
  </si>
  <si>
    <t>F08-001</t>
  </si>
  <si>
    <t>F08-002</t>
  </si>
  <si>
    <t>F08-003</t>
  </si>
  <si>
    <t>F08-004</t>
  </si>
  <si>
    <t>F08-005</t>
  </si>
  <si>
    <t>F08-006</t>
  </si>
  <si>
    <t>Number of ART patients from the general population with no clinical contact (or ARV drug pick-up) for greater than 28 days since their last expected contact who restarted ARVs within the reporting period</t>
  </si>
  <si>
    <t>Number of ART patients from the People who inject drugs (PWID) with no clinical contact (or ARV drug pick-up) for greater than 28 days since their last expected contact who restarted ARVs within the reporting period</t>
  </si>
  <si>
    <t>Number of ART patients from the Men who have sex with men (MSM) with no clinical contact (or ARV drug pick-up) for greater than 28 days since their last expected contact who restarted ARVs within the reporting period</t>
  </si>
  <si>
    <t>Number of ART patients from the Transgender people (TG) with no clinical contact (or ARV drug pick-up) for greater than 28 days since their last expected contact who restarted ARVs within the reporting period</t>
  </si>
  <si>
    <t>Number of ART patients from the Female sex workers (FSW) with no clinical contact (or ARV drug pick-up) for greater than 28 days since their last expected contact who restarted ARVs within the reporting period</t>
  </si>
  <si>
    <t>Number of ART patients from the People in prison and other closed settings with no clinical contact (or ARV drug pick-up) for greater than 28 days since their last expected contact who restarted ARVs within the reporting period</t>
  </si>
  <si>
    <t>Defaulter tracing register colm "y"</t>
  </si>
  <si>
    <t>F07-05</t>
  </si>
  <si>
    <t>F07-06</t>
  </si>
  <si>
    <t>F07-07</t>
  </si>
  <si>
    <t>F07-08</t>
  </si>
  <si>
    <t>F07-09</t>
  </si>
  <si>
    <t>F07-10</t>
  </si>
  <si>
    <t>2 months of ARVs dispensed to patient</t>
  </si>
  <si>
    <t>3 months of ARVs dispensed to patient</t>
  </si>
  <si>
    <t>4 months of ARVs dispensed to patient</t>
  </si>
  <si>
    <t>5 months of ARVs dispensed to patient</t>
  </si>
  <si>
    <t>6 months of ARVs dispensed to patient</t>
  </si>
  <si>
    <t>F07-11</t>
  </si>
  <si>
    <t>F07-12</t>
  </si>
  <si>
    <t>F07-13</t>
  </si>
  <si>
    <t>F07-14</t>
  </si>
  <si>
    <t>F07-15</t>
  </si>
  <si>
    <t>F07-16</t>
  </si>
  <si>
    <t>This is a count of  all PLHIV from the general population who are active on ART at the reporting period</t>
  </si>
  <si>
    <t>This is a count of  all PLHIV who inject drugs who are active on ART at the reporting period</t>
  </si>
  <si>
    <t>This is a count of  all PLHIV from Men who have sex with Men who are active on ART at the reporting period</t>
  </si>
  <si>
    <t>This is a count of  all PLHIV from the Transgender population who are active on ART at the reporting period</t>
  </si>
  <si>
    <t>This is a count of  all PLHIV Female Sex Workers (FSW) who are active on ART at the reporting period</t>
  </si>
  <si>
    <t>This is a count of  all PLHIV from People in prison and other closed settings who are active on ART at the reporting period</t>
  </si>
  <si>
    <t>This is a count of all active clients dispensed for drugs for 1 month</t>
  </si>
  <si>
    <t>This is a count of all active clients dispensed for drugs for 2 month</t>
  </si>
  <si>
    <t>This is a count of all active clients dispensed for drugs for 3 month</t>
  </si>
  <si>
    <t>This is a count of all active clients dispensed for drugs for 4 month</t>
  </si>
  <si>
    <t>This is a count of all active clients dispensed for drugs for 5 month</t>
  </si>
  <si>
    <t>This is a count of all active clients dispensed for drugs for 6 month</t>
  </si>
  <si>
    <t>DAR Pharmacy/ADT</t>
  </si>
  <si>
    <t>Total ARVs dispensed</t>
  </si>
  <si>
    <t>Currently on ART (All) 
by Population type</t>
  </si>
  <si>
    <t>Currently on ART (All)
by Multi-Month Dispensing</t>
  </si>
  <si>
    <t xml:space="preserve">PITC-Pediatric 
(&lt;5 Yrs) </t>
  </si>
  <si>
    <t>F07-17</t>
  </si>
  <si>
    <t>1 month of ARVs dispensed to patient</t>
  </si>
  <si>
    <t>F07-18</t>
  </si>
  <si>
    <t xml:space="preserve">Transferred Out                              </t>
  </si>
  <si>
    <t>A count of Patients confirmed to be successfully transferred to another
health facility during the reporting period, this includes both “silent transfers” and
“down-referrals.” A ‘down-referral’ refers to those instances where a patient is
initiated at one facility (counted as TX_NEW and possibly TX_CURR at the initiating
facility) and then transferred to a lower level facility for ongoing ART. “Silent
transfer” refers to those clients that are lost to treatment at one facility, but have reentered treatment at another facility without notifying the original departing facility</t>
  </si>
  <si>
    <t>Refused (Stopped) Treatment</t>
  </si>
  <si>
    <t>F08-012</t>
  </si>
  <si>
    <t>F08-013</t>
  </si>
  <si>
    <t>F08-014</t>
  </si>
  <si>
    <t>F08-015</t>
  </si>
  <si>
    <t>Lost to Follow-up After being on Treatment for more than  3 months</t>
  </si>
  <si>
    <t>Patient was contacted and confirmed to have stopped ART during this reporting period. Reasons that the patient stopped ART should be investigated and well documented in the narratives for this indicator (e.g., stigma and discrimination, faith healing, etc.)</t>
  </si>
  <si>
    <t xml:space="preserve">This is a count of all clients with less than three months since the ART start date who turned Lost to follow-up during the reporting period. </t>
  </si>
  <si>
    <t>This is a count of all clients with more than three months since the ART start date who turned Lost to follow-up during the reporting period.</t>
  </si>
  <si>
    <t>Defaulter tracing register (with outcomes in either column U, V, W or X) and ART Cohort Register column B/EMR</t>
  </si>
  <si>
    <t>defaulter tracing register column "T"</t>
  </si>
  <si>
    <t>a count of patients who have been given 2 prescriptions to last them for 6 months</t>
  </si>
  <si>
    <t>Total LTFU Oucomes</t>
  </si>
  <si>
    <t>Multi Month Scripting (MMS)</t>
  </si>
  <si>
    <t xml:space="preserve">Positive          </t>
  </si>
  <si>
    <t>Likii Dispensary</t>
  </si>
  <si>
    <t>15035</t>
  </si>
  <si>
    <t>Laikipia East</t>
  </si>
  <si>
    <t>Laikipia</t>
  </si>
  <si>
    <t>02</t>
  </si>
  <si>
    <t>Rescreened and treatment 
after previous negative or suspected cancer</t>
  </si>
  <si>
    <t>Prepared By:</t>
  </si>
  <si>
    <t>1.0 HTS eligibility screening at OPD, IPD &amp; MCH</t>
  </si>
  <si>
    <t>No. eligible for HTS testing</t>
  </si>
  <si>
    <t>F00-01</t>
  </si>
  <si>
    <t>F00-02</t>
  </si>
  <si>
    <t>F00-03</t>
  </si>
  <si>
    <t xml:space="preserve">Known Positive at ANC1 (PMTCT_STAT_KP)    </t>
  </si>
  <si>
    <t>ANC1 clients with known HIV status (PMTCT_STAT_Num)</t>
  </si>
  <si>
    <t xml:space="preserve">Positive test at ANC1 (PMTCT_STAT_New Pos)            </t>
  </si>
  <si>
    <t>Initial positive results at ANC 2 and above</t>
  </si>
  <si>
    <t xml:space="preserve">Initial test at PNC &lt;= 6wks           </t>
  </si>
  <si>
    <t>F06-041</t>
  </si>
  <si>
    <t>Total Positives at ANC1 (PMTCT_STAT_Pos)</t>
  </si>
  <si>
    <t>1st ANC Visit</t>
  </si>
  <si>
    <t>Retesting at ANC 2 and above</t>
  </si>
  <si>
    <t>Retesting positive result at ANC 2 and above</t>
  </si>
  <si>
    <t>F06-061</t>
  </si>
  <si>
    <t>F06-062</t>
  </si>
  <si>
    <t>L&amp;D (Maternity)</t>
  </si>
  <si>
    <t>Retesting at PNC &lt; = 6 weeks</t>
  </si>
  <si>
    <t>Retesting positive result at PNC &lt; = 6 weeks</t>
  </si>
  <si>
    <t>PNC</t>
  </si>
  <si>
    <t>F06-101</t>
  </si>
  <si>
    <t>F06-102</t>
  </si>
  <si>
    <t>F06-103</t>
  </si>
  <si>
    <t>F06-104</t>
  </si>
  <si>
    <t>F06-042</t>
  </si>
  <si>
    <t>On HAART at ANC1 (PMTCT_ART_Already on ART)</t>
  </si>
  <si>
    <t>Start HAART at ANC1 (PMTCT_ART_New on ART)</t>
  </si>
  <si>
    <t>Total on HAART at ANC1 (PMTCT_ART_Num)</t>
  </si>
  <si>
    <t xml:space="preserve">Initial Start HAART at ANC 2 and above </t>
  </si>
  <si>
    <t>Retest Start HAART ANC 2 and above</t>
  </si>
  <si>
    <t>Start HAART at L&amp;D</t>
  </si>
  <si>
    <t>Initial Start HAART at PNC &lt; = 6 weeks</t>
  </si>
  <si>
    <t>Retest Start HAART at PNC &lt; = 6 weeks</t>
  </si>
  <si>
    <t>F06-141</t>
  </si>
  <si>
    <t>F06-142</t>
  </si>
  <si>
    <t>F06-143</t>
  </si>
  <si>
    <t>F06-161</t>
  </si>
  <si>
    <t>F06-162</t>
  </si>
  <si>
    <t>PMTCT_EID Testing</t>
  </si>
  <si>
    <t>PMTCT_HEI POS ART</t>
  </si>
  <si>
    <t xml:space="preserve">Infants of 2-12 Months who had a first virologic HIV test </t>
  </si>
  <si>
    <t xml:space="preserve">Infants of 0-12 Months who had a first virologic HIV test </t>
  </si>
  <si>
    <t>PMTCT_HEI Positive</t>
  </si>
  <si>
    <t>Infants of 2-12 Months HIV +ve</t>
  </si>
  <si>
    <t>Infants of 0-12 Months HIV +Ve</t>
  </si>
  <si>
    <t xml:space="preserve">Infants of 0-2 Months who had a first virologic HIV test </t>
  </si>
  <si>
    <t>Infants of 0-2 Months HIV +ve</t>
  </si>
  <si>
    <t xml:space="preserve">Clients seen at OPD (monthly workload)                   </t>
  </si>
  <si>
    <t>F05-001</t>
  </si>
  <si>
    <t>F05-002</t>
  </si>
  <si>
    <t>HIV testing in TB clinic</t>
  </si>
  <si>
    <t>Total TB cases (new and relapsed) reported in the month (TB_STAT_Den)</t>
  </si>
  <si>
    <t>TB cases eligible for HIV testing</t>
  </si>
  <si>
    <t>TB cases with documented HIV status (TB_STAT_Num)</t>
  </si>
  <si>
    <t>F09-01</t>
  </si>
  <si>
    <t>F06-121</t>
  </si>
  <si>
    <t>F06-122</t>
  </si>
  <si>
    <t>F06-123</t>
  </si>
  <si>
    <t>F06-124</t>
  </si>
  <si>
    <t>F06-125</t>
  </si>
  <si>
    <t>F06-126</t>
  </si>
  <si>
    <t>F06-127</t>
  </si>
  <si>
    <t>F06-128</t>
  </si>
  <si>
    <t>F06-129</t>
  </si>
  <si>
    <t>F09-02</t>
  </si>
  <si>
    <t>F09-03</t>
  </si>
  <si>
    <t>F09-04</t>
  </si>
  <si>
    <t>F09-05</t>
  </si>
  <si>
    <t>F09-06</t>
  </si>
  <si>
    <t>Total TB HIV Positives at TB clinic (TB_STAT_Pos)</t>
  </si>
  <si>
    <t>F09-07</t>
  </si>
  <si>
    <t>F09-08</t>
  </si>
  <si>
    <t>F09-09</t>
  </si>
  <si>
    <t>TB cases tested positive newly started on ART (TB_ART_New on ART)</t>
  </si>
  <si>
    <t>No. newly tested for HIV</t>
  </si>
  <si>
    <t>TB Cases Already on ART at entry in TB clinic (TB_ART_Already on ART)</t>
  </si>
  <si>
    <t>No. newly tested for HIV and turned positive (TB_STAT_New Pos)</t>
  </si>
  <si>
    <t>TB cases with known HIV +ve status (KP) at entry in TB clinic (TB_STAT_KP)</t>
  </si>
  <si>
    <t>HIV disease resulting in other infectious and parasitic disease</t>
  </si>
  <si>
    <t>Other natural causes</t>
  </si>
  <si>
    <t>F09-10</t>
  </si>
  <si>
    <t>Total TB HIV coinfected clients started on ART (TB_ART_Num)</t>
  </si>
  <si>
    <t>F07-041</t>
  </si>
  <si>
    <t>F07-042</t>
  </si>
  <si>
    <t>F07-043</t>
  </si>
  <si>
    <t>F07-044</t>
  </si>
  <si>
    <t>F07-031</t>
  </si>
  <si>
    <t>Clients HIV tested for PrEP initiation</t>
  </si>
  <si>
    <t>F02-011</t>
  </si>
  <si>
    <t>F02-012</t>
  </si>
  <si>
    <t>F02-051</t>
  </si>
  <si>
    <t>F07-011</t>
  </si>
  <si>
    <t>F07-012</t>
  </si>
  <si>
    <t>F07-013</t>
  </si>
  <si>
    <t>F07-014</t>
  </si>
  <si>
    <t>F07-015</t>
  </si>
  <si>
    <t>F07-016</t>
  </si>
  <si>
    <t>Starting ART by Population type</t>
  </si>
  <si>
    <t>Starting ART Breastfeeding</t>
  </si>
  <si>
    <t>Current on ART (All)</t>
  </si>
  <si>
    <t>9.0 HIV testing in TB clinic</t>
  </si>
  <si>
    <t>Current on PREP by Population Type</t>
  </si>
  <si>
    <t>Initiated (new) on PrEP by population type</t>
  </si>
  <si>
    <t>F02-031</t>
  </si>
  <si>
    <t>F02-032</t>
  </si>
  <si>
    <t>F02-033</t>
  </si>
  <si>
    <t>F02-034</t>
  </si>
  <si>
    <t>F02-035</t>
  </si>
  <si>
    <t>F02-036</t>
  </si>
  <si>
    <t>Prep Screening and Eligibility</t>
  </si>
  <si>
    <t>Prep New</t>
  </si>
  <si>
    <t>F02-052</t>
  </si>
  <si>
    <t>F02-053</t>
  </si>
  <si>
    <t>F02-054</t>
  </si>
  <si>
    <t>F02-055</t>
  </si>
  <si>
    <t>F02-056</t>
  </si>
  <si>
    <t>F02-057</t>
  </si>
  <si>
    <t>Lost to Follow-up After being on Treatment for less than  or equal to 3 months</t>
  </si>
  <si>
    <t>Screening positive for TB (presumptive TB clients)</t>
  </si>
  <si>
    <t>F07-045</t>
  </si>
  <si>
    <t>F07-046</t>
  </si>
  <si>
    <t>F07-047</t>
  </si>
  <si>
    <t>F07-048</t>
  </si>
  <si>
    <t>Screening positive for TB Newly enrolled on ART</t>
  </si>
  <si>
    <t>Screening positive for TB Previously enrolled on ART</t>
  </si>
  <si>
    <t>Screening negative for TB Newly enrolled on ART</t>
  </si>
  <si>
    <t>Screening negative for TB Previously enrolled on ART</t>
  </si>
  <si>
    <t>No. of ART patients who had a positive result returned for bacteriologic diagnosis of active TB disease</t>
  </si>
  <si>
    <t>F07-049</t>
  </si>
  <si>
    <t>F07-050</t>
  </si>
  <si>
    <t>TB screening in CCC (ICF)</t>
  </si>
  <si>
    <t>TB screening in non CCC settings (OPD, IPD &amp; MCH); Active Case Finding</t>
  </si>
  <si>
    <t>F07-051</t>
  </si>
  <si>
    <t>F07-052</t>
  </si>
  <si>
    <t>F07-053</t>
  </si>
  <si>
    <t>F07-054</t>
  </si>
  <si>
    <t>F07-055</t>
  </si>
  <si>
    <t>F07-056</t>
  </si>
  <si>
    <t>F07-057</t>
  </si>
  <si>
    <t>F07-058</t>
  </si>
  <si>
    <t>F07-059</t>
  </si>
  <si>
    <t>F07-060</t>
  </si>
  <si>
    <t>This is a count of contacts provided by the index client as a result of accepting index testing services.  Note: contacts are only sexual partners, biological children/parents, and anyone with whom a needle was shared.</t>
  </si>
  <si>
    <t>This is a count of VMMC clients who received HIV positive results at the facility after the HIV test. It is a subset of F01-26 above</t>
  </si>
  <si>
    <t>This is a count of those who were intiated on PEP three months ago and have completed the prophylaxis. It is a subset of F05-12 above</t>
  </si>
  <si>
    <t>This is a count of pregnant women who take first HIV test in the pregnancy either during 2nd, 3rd , 4th visit etc. It excludes repeat test during pregnancy for those women who could have tested negative earlier in the pregnancy.</t>
  </si>
  <si>
    <t>Counts all women who first knew their HIV positive status at any time during the pregnancy post 1st ANC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</si>
  <si>
    <t>This is a count of breastfeeding women who tested for HIV and knew their HIV positive results first within six weeks postnatal. The count includes women who could have taken the test during antenatal, labour &amp; delivery (and results were negative) but tested HIV positive within 6 weeks of post natal period.</t>
  </si>
  <si>
    <t>This is a count of all male clients, who receive HIV positive result for the first time during the spouse's pregnacy at the ANC in the company of their spouses.  It is a sub set of F06-11 above</t>
  </si>
  <si>
    <t>Index testing register, colm "d"</t>
  </si>
  <si>
    <t>Index testing register, colm "d" vs "I"</t>
  </si>
  <si>
    <t>Index testing register, colm "I"</t>
  </si>
  <si>
    <t>Index testing register, colm "0"</t>
  </si>
  <si>
    <t>Index testing register, colm "u"</t>
  </si>
  <si>
    <t>Index testing register, colm "v"</t>
  </si>
  <si>
    <t>Index testing register, colm "s"</t>
  </si>
  <si>
    <t>HTS Lab register colm "Y"</t>
  </si>
  <si>
    <t xml:space="preserve">Not tested - Due to IPV   </t>
  </si>
  <si>
    <t>Initiated (new) on PrEP</t>
  </si>
  <si>
    <t xml:space="preserve"> Total HTS Tested ( Excludes Tests at PMTCT)</t>
  </si>
  <si>
    <t>Retest Start HAART at L&amp;D</t>
  </si>
  <si>
    <t>F06-151</t>
  </si>
  <si>
    <t xml:space="preserve">Retesting at L&amp;D                     </t>
  </si>
  <si>
    <t>F06-081</t>
  </si>
  <si>
    <t>F06-082</t>
  </si>
  <si>
    <t xml:space="preserve">No. of clients seen at OPD (monthly workload)         </t>
  </si>
  <si>
    <t>No. screened for HTS eligibility</t>
  </si>
  <si>
    <t>Not tested - Due to IPV</t>
  </si>
  <si>
    <t xml:space="preserve">Total HTS Positive ( Excludes Positives at PMTCT) </t>
  </si>
  <si>
    <t>Unassisted: Self</t>
  </si>
  <si>
    <t>Unassisted : Sex partner</t>
  </si>
  <si>
    <t>Unassisted : Other</t>
  </si>
  <si>
    <t>Assessed for HIV risk</t>
  </si>
  <si>
    <t>Clients screened for Prep initiation testing positive</t>
  </si>
  <si>
    <t>Eligible for PrEP</t>
  </si>
  <si>
    <t>Restarting PrEP</t>
  </si>
  <si>
    <t>Less than three months since PrEP initiation</t>
  </si>
  <si>
    <t>Diagnosed with STI</t>
  </si>
  <si>
    <t>Drug resistance tests done</t>
  </si>
  <si>
    <t>Referred to other facilities</t>
  </si>
  <si>
    <t>Still on preparation</t>
  </si>
  <si>
    <t>Using condoms</t>
  </si>
  <si>
    <t>Declined</t>
  </si>
  <si>
    <t>Discordant couples at PMTCT</t>
  </si>
  <si>
    <t>Discordant couples at  HTS</t>
  </si>
  <si>
    <t>New on ART</t>
  </si>
  <si>
    <t>Previously on ART</t>
  </si>
  <si>
    <t>Negative</t>
  </si>
  <si>
    <t>Suspected cancer</t>
  </si>
  <si>
    <t>Cryotherapy</t>
  </si>
  <si>
    <t>LEEP</t>
  </si>
  <si>
    <t>Thermocoagulation</t>
  </si>
  <si>
    <t>Clients seen at OPD (monthly workload)</t>
  </si>
  <si>
    <t>Initiated PEP</t>
  </si>
  <si>
    <t>No. of clients</t>
  </si>
  <si>
    <t>Screened for STI</t>
  </si>
  <si>
    <t>Tested for STI</t>
  </si>
  <si>
    <t>Treated for STI</t>
  </si>
  <si>
    <t>Eligible for Emergency Contraceptive</t>
  </si>
  <si>
    <t>Given Emergency Contraceptive Pill</t>
  </si>
  <si>
    <t>Tested for HIV</t>
  </si>
  <si>
    <t>Initiated PEP 3 months ago</t>
  </si>
  <si>
    <t>No. completed PEP</t>
  </si>
  <si>
    <t>No. seroconverted</t>
  </si>
  <si>
    <t>No. pregnant</t>
  </si>
  <si>
    <t>New (1st) ANC clients (PMTCT_STAT_Den)</t>
  </si>
  <si>
    <t>Known Positive at ANC1 (PMTCT_STAT_KP)</t>
  </si>
  <si>
    <t>Initial test at ANC 1</t>
  </si>
  <si>
    <t>Positive test at ANC1 (PMTCT_STAT_New Pos)</t>
  </si>
  <si>
    <t>Initial test at ANC 2 and above</t>
  </si>
  <si>
    <t>Initial test at  L&amp;D</t>
  </si>
  <si>
    <t>Positive result at L&amp;D</t>
  </si>
  <si>
    <t>Retesting at L&amp;D</t>
  </si>
  <si>
    <t>Retesting Positive result at L&amp;D</t>
  </si>
  <si>
    <t>Initial test at PNC &lt;= 6wks</t>
  </si>
  <si>
    <t>Positive at PNC &lt;=6wks</t>
  </si>
  <si>
    <t>Male partners tested for HIV at ANC</t>
  </si>
  <si>
    <t>Male partners tested HIV+ at ANC</t>
  </si>
  <si>
    <t>Infants of 2-12 Months who had a first virologic HIV test</t>
  </si>
  <si>
    <t>Infants of 0-2 Months who had a first virologic HIV test</t>
  </si>
  <si>
    <t>Initial Start HAART at ANC 2 and above</t>
  </si>
  <si>
    <t>Infant Prophylaxis_ANC</t>
  </si>
  <si>
    <t>Infant Prophylaxis_ L&amp;D</t>
  </si>
  <si>
    <t>Infant Prophylaxis_PNC&lt; 6wks</t>
  </si>
  <si>
    <t>Breastfeeding at initiation of ART</t>
  </si>
  <si>
    <t>Died (confirmed)</t>
  </si>
  <si>
    <t>Transferred Out</t>
  </si>
  <si>
    <t>HIV disease resulting in cancer</t>
  </si>
  <si>
    <t xml:space="preserve">Clients seen at OPD (monthly workload)                                    </t>
  </si>
  <si>
    <t xml:space="preserve">This is a count of clients attending OPD clinic in a particular month </t>
  </si>
  <si>
    <t>OPD Register (for under 5 abd over 5)</t>
  </si>
  <si>
    <t xml:space="preserve">Screened for HTS eligibility </t>
  </si>
  <si>
    <t xml:space="preserve">This is a count of clients attending OPD clinic who were screened for HIV risk </t>
  </si>
  <si>
    <t xml:space="preserve">HIV Screening register/tally sheet </t>
  </si>
  <si>
    <t>Eligible for HTS testing</t>
  </si>
  <si>
    <t>This is a count of clients who were eligible for HIV testing based on the screening creteria</t>
  </si>
  <si>
    <t>Clients tested for HIV before PrEP initiation</t>
  </si>
  <si>
    <t>This is a count of clients who were tested for HIV before initiation to PrEP</t>
  </si>
  <si>
    <t xml:space="preserve">PrEP register Colmn "G" </t>
  </si>
  <si>
    <t xml:space="preserve">Clients testing Positive </t>
  </si>
  <si>
    <t>This is a count of clients who were tested for HIV before initiation to PrEP and had a positive result</t>
  </si>
  <si>
    <t xml:space="preserve">This is a count of clients catergorised as general population who were initiated on PrEP in a particular month </t>
  </si>
  <si>
    <t xml:space="preserve">PrEP register Colmn "F" </t>
  </si>
  <si>
    <t xml:space="preserve">This is a count of clients catergorised as PWID who were initiated on PrEP in a particular month </t>
  </si>
  <si>
    <t xml:space="preserve">This is a count of clients catergorised as MSM who were initiated on PrEP in a particular month </t>
  </si>
  <si>
    <t xml:space="preserve">This is a count of clients catergorised as TG who were initiated on PrEP in a particular month </t>
  </si>
  <si>
    <t xml:space="preserve">This is a count of clients catergorised as FSW who were initiated on PrEP in a particular month </t>
  </si>
  <si>
    <t xml:space="preserve">This is a count of clients in prisons who were initiated on PrEP in a particular month </t>
  </si>
  <si>
    <t xml:space="preserve">OPD Register </t>
  </si>
  <si>
    <t xml:space="preserve">This is a count of clients attending OPD clinic who were screened for any form of gender based violence </t>
  </si>
  <si>
    <t xml:space="preserve">Screening Register </t>
  </si>
  <si>
    <t xml:space="preserve">Known Positive status refers to all women who at the time of making this first visit to the ANC had documented evidence of posivive status. As such these women are not required to take a test at ANC, L&amp;D,or PNC </t>
  </si>
  <si>
    <t xml:space="preserve">Counts all women who first learnt their HIV status at 1st visit during pregnancy. Note: it does not matter at what stage in pregnancy.  What matters is that the woman learnt of her HIV positive status during their first antenatal visit period. </t>
  </si>
  <si>
    <t>This is a count of all women who had a second and above HIV retest done during ANC visit after ANC 1</t>
  </si>
  <si>
    <t xml:space="preserve">ANC Register colm "Y and AA" </t>
  </si>
  <si>
    <t xml:space="preserve">This is a count of women who could have taken the test during an earlier antenatal care visit (and results were negative) but testing HIV positive following a retest in ANC during the reporting month. </t>
  </si>
  <si>
    <t>Maternity register colm "af, ag"</t>
  </si>
  <si>
    <t>This is a count of women who tested positive at L&amp;D include those who were retested and result turned positive</t>
  </si>
  <si>
    <t>Maternity register colm "ah"</t>
  </si>
  <si>
    <t>This counts all women, who took a retest at labour and delivery</t>
  </si>
  <si>
    <t>This counts all women, who were retested at labour and delivery and result turned positive.</t>
  </si>
  <si>
    <t>This is a count of all women who had tested HIV negative at any time during ANC and or labour &amp; delivery who undergo another HIV test within 6 weeks postnatal</t>
  </si>
  <si>
    <t>PNC register colm "X, Y"</t>
  </si>
  <si>
    <t xml:space="preserve">This is a count of all women who had tested HIV negative as any time during ANC and or labour &amp; delivery who undergo another HIV test within 6 weeks at postnatal and resut turn out to be positive. </t>
  </si>
  <si>
    <t>PNC register colm "Z"</t>
  </si>
  <si>
    <t>This is a count of all women who were tested for HIV between 6 weeks to 6 months postnatal</t>
  </si>
  <si>
    <t>PNC register colm "AA"</t>
  </si>
  <si>
    <t xml:space="preserve">This is a count of all women who were tested for HIV between 6 weeks to 6 months postnatal and received a positive result </t>
  </si>
  <si>
    <t xml:space="preserve">This is a count of HEI aged 0-2 months who had a first PCR test done during the reporting month </t>
  </si>
  <si>
    <t>HEI register Clomn "M, N"</t>
  </si>
  <si>
    <t xml:space="preserve">This is a count of HEI aged 2-12 months who had a first PCR test done during the reporting month </t>
  </si>
  <si>
    <t xml:space="preserve">This is a count of HEI aged 0-12 months who had a first PCR test done during the reporting month </t>
  </si>
  <si>
    <t xml:space="preserve">This is a count of HEI aged 0-2 months who had Positive PCR test result during the reporting month </t>
  </si>
  <si>
    <t>HEI register Clomn "Q"</t>
  </si>
  <si>
    <t xml:space="preserve">This is a count of HEI aged 2-12 months who had Positive PCR test result during the reporting month </t>
  </si>
  <si>
    <t xml:space="preserve">This is a count of HEI aged 0-12 months who had Positive PCR test result during the reporting month </t>
  </si>
  <si>
    <t xml:space="preserve">This is a count of HEI aged 0-2 months with a positive PCR results started on ART during the reporting month </t>
  </si>
  <si>
    <t>HEI register Clomn "BE"</t>
  </si>
  <si>
    <t xml:space="preserve">This is a count of HEI aged 2-12 months with a positive PCR results started on ART during the reporting month </t>
  </si>
  <si>
    <t xml:space="preserve">This is a count of HEI aged 0-12 months with a positive PCR results started on ART during the reporting month </t>
  </si>
  <si>
    <t>ANC Rgister colm "ae"</t>
  </si>
  <si>
    <t xml:space="preserve">Counts all women who first knew their HIV positive status at any time during the pregnancy post ANC 1 visit, e.g during 2nd, 3rd visit etc and started on ART.  </t>
  </si>
  <si>
    <t>This is a count of pregnant women started ART after retesting positive during 2nd ANC visit and above</t>
  </si>
  <si>
    <t>This is a count of women who were started on HAART at L&amp;D after a positive HIV retest</t>
  </si>
  <si>
    <t xml:space="preserve">This is a count of women who had an initial test within 6 weeks postnatal, turned HIV positive and were started on HAART </t>
  </si>
  <si>
    <t>PNC register  Column (ac)</t>
  </si>
  <si>
    <t>This is a count of women who had a HIV retest within 6 weeks postnatal turned positive, and were started on HAART</t>
  </si>
  <si>
    <t>This is a count of women who had a HIV test between 6 week to 6 months postnatal, turned HIV positive and were started on HAART</t>
  </si>
  <si>
    <t>PNC register  Column (ae)</t>
  </si>
  <si>
    <t xml:space="preserve">This is a count of individuals starting HAART treatment disaggregated by the age and sex within the reporting month. </t>
  </si>
  <si>
    <t>ART register/EMR</t>
  </si>
  <si>
    <t xml:space="preserve">This is a count of individuals caterogized as general population starting HAART treatment disaggregated by the age and sex within the reporting month. </t>
  </si>
  <si>
    <t xml:space="preserve">This is a count of individuals caterogized as PWIDs starting HAART treatment disaggregated by the age and sex within the reporting month. </t>
  </si>
  <si>
    <t xml:space="preserve">This is a count of individuals caterogized as MSM starting HAART treatment disaggregated by the age and sex within the reporting month. </t>
  </si>
  <si>
    <t xml:space="preserve">This is a count of individuals caterogized as TG starting HAART treatment disaggregated by the age and sex within the reporting month. </t>
  </si>
  <si>
    <t xml:space="preserve">This is a count of individuals caterogized as FSW starting HAART treatment disaggregated by the age and sex within the reporting month. </t>
  </si>
  <si>
    <t xml:space="preserve">This is a count of individuals in prison and other closed settings starting HAART treatment disaggregated by the age and sex within the reporting month. </t>
  </si>
  <si>
    <t>Defaulter tracing register column "B" (EMR)</t>
  </si>
  <si>
    <t>This is a count of all HIV infected persons currently on Treatment preparation or on ART who were screened for TB the last time they were seen at the clinic during a scheduled visit within the reporting period.</t>
  </si>
  <si>
    <t>This is a count of all HIV infected persons newly enrolled on ART who screened TB postive the last time they were seen at the clinic during a scheduled visit within the reporting period.</t>
  </si>
  <si>
    <t>CCC DAR Column "AY, Q to Z"/ EMR</t>
  </si>
  <si>
    <t>This is a count of all HIV infected persons who have been on treatment follow-up who screened TB postive the last time they were seen at the clinic during a scheduled visit within the reporting period.</t>
  </si>
  <si>
    <t>This is a count of all HIV infected persons newly enrolled on ART who screened TB negative the last time they were seen at the clinic during a scheduled visit within the reporting period.</t>
  </si>
  <si>
    <t>This is a count of all HIV infected persons who have been on treatment follow-up who screened TB negative the last time they were seen at the clinic during a scheduled visit within the reporting period.</t>
  </si>
  <si>
    <t>This is a count of PLHIV who screened TB postive whose specimes were sent for Smear test</t>
  </si>
  <si>
    <t>Presumptive DRTB register Column "M"</t>
  </si>
  <si>
    <t>This is a count of PLHIV who screened TB postive whose specimes were sent for Gene Xpert MTB /R</t>
  </si>
  <si>
    <t>Presumptive DRTB register Column "L"</t>
  </si>
  <si>
    <t>This is a count of PLHIV who screened TB postive whose specimes were sent for Other (No Xpert)</t>
  </si>
  <si>
    <t xml:space="preserve">Presumptive DRTB register Column "N and O" </t>
  </si>
  <si>
    <t>This is a count of PLHIV who had a positive result returned for bacteriologic diagnosis of active TB disease</t>
  </si>
  <si>
    <t xml:space="preserve">Presumptive DRTB register Column "P" </t>
  </si>
  <si>
    <t>This a count of  Confirmed TB positive started on TB treatment (TX_TB_Num)</t>
  </si>
  <si>
    <t xml:space="preserve">Presumptive DRTB register Column "Q" </t>
  </si>
  <si>
    <t>No. of confirmed TB positive newly started on ART started on TB Treatment</t>
  </si>
  <si>
    <t>This is a count of confirmed TB positive newly started on ART who startedTB treatment</t>
  </si>
  <si>
    <t>Presumptive DRTB register Column "Q" CCC DAR Column "AY, Q to Z"/ EMR</t>
  </si>
  <si>
    <t>No. of confirmed TB positive already on ART strated on TB treatment</t>
  </si>
  <si>
    <t>This is a count of confirmed TB positive already on ART started on TB treatment</t>
  </si>
  <si>
    <t>OPD Register (under 5 and over 5 Years)</t>
  </si>
  <si>
    <t xml:space="preserve">This is a count of individuals screened TB positive at OPD </t>
  </si>
  <si>
    <t>Presumptive DRTB Register Clomn "B"</t>
  </si>
  <si>
    <t>This is a count of IPD,OPD, and MCH clients who screened TB postive whose specimes were sent for Smear test</t>
  </si>
  <si>
    <t>This is a count of IPD,OPD, and MCH clients who screened TB postive whose specimes were sent for Gene Xpert MTB /R</t>
  </si>
  <si>
    <t>This is a count of IPD,OPD, and MCH clients who screened TB postive whose specimes were sent for Other (No Xpert)</t>
  </si>
  <si>
    <t>This is a count of IPD,OPD, and MCH clients who had a positive result returned for bacteriologic diagnosis of active TB disease</t>
  </si>
  <si>
    <t xml:space="preserve">This is a count of Confirmed TB positive started on TB treatment (TX_TB_Num) from IPD,OPD, and MCH. </t>
  </si>
  <si>
    <t>This is a count of all TB cases (new and relapsed) reported in the month (TB_STAT_Den)</t>
  </si>
  <si>
    <t>TB 4 Column "n"</t>
  </si>
  <si>
    <t>This is a count of TB cases with known HIV +ve status (KP) at entry in TB clinic (TB_STAT_KP)</t>
  </si>
  <si>
    <t>TB 4 Column "V"</t>
  </si>
  <si>
    <t>This is a count of TB cases eligible for HIV testing</t>
  </si>
  <si>
    <t>This is a count of TB clients newly tested for HIV</t>
  </si>
  <si>
    <t>This is a count of TB cases with documented HIV status (TB_STAT_Num)</t>
  </si>
  <si>
    <t>This is a count of newly tested for HIV and turned positive (TB_STAT_New Pos)</t>
  </si>
  <si>
    <t>This is a count of Total TB HIV Positives at TB clinic (TB_STAT_Pos)</t>
  </si>
  <si>
    <t>This is a count of TB cases tested positive newly started on ART (TB_ART_New on ART)</t>
  </si>
  <si>
    <t>TB 4 Column "AA"</t>
  </si>
  <si>
    <t>This is a count of TB Cases Already on ART at entry in TB clinic (TB_ART_Already on ART)</t>
  </si>
  <si>
    <t>This is a count of Total TB HIV coinfected clients started on ART (TB_ART_Num)</t>
  </si>
  <si>
    <t>Total Screening positive for TB (presumptive TB clients)</t>
  </si>
  <si>
    <t>Total Screened for TB at last clinic visit (TX_TB_Den)</t>
  </si>
  <si>
    <t>Total No. of patients whose specimens were sent</t>
  </si>
  <si>
    <t>No. of  Confirmed ART Patients TB positive started on TB treatment (TX_TB_Num)</t>
  </si>
  <si>
    <t>ART Patients started on TB Treatment</t>
  </si>
  <si>
    <t>F07-061</t>
  </si>
  <si>
    <t>This is a count of PLHIV who screened TB postive whose specimes were sent</t>
  </si>
  <si>
    <t>Current On PREP</t>
  </si>
  <si>
    <t xml:space="preserve">Currently on ART (All)              </t>
  </si>
  <si>
    <t>HTS eligibility screening at OPD</t>
  </si>
  <si>
    <t>HTS eligibility screening at IPD</t>
  </si>
  <si>
    <t>HTS eligibility screening at MCH</t>
  </si>
  <si>
    <t>F00-04</t>
  </si>
  <si>
    <t>F00-05</t>
  </si>
  <si>
    <t>F00-06</t>
  </si>
  <si>
    <t>F00-07</t>
  </si>
  <si>
    <t>F00-08</t>
  </si>
  <si>
    <t>F00-09</t>
  </si>
  <si>
    <t>F00-10</t>
  </si>
  <si>
    <t xml:space="preserve">No. of clients seen at IPD (monthly workload)         </t>
  </si>
  <si>
    <t xml:space="preserve">No. of clients seen at MCH (monthly workload)         </t>
  </si>
  <si>
    <t>Total Eligible For HTS Testing IPD and OPD</t>
  </si>
  <si>
    <t>Total CXCA Screening Positive</t>
  </si>
  <si>
    <t>F04-031</t>
  </si>
  <si>
    <t>F04-091</t>
  </si>
  <si>
    <t>F04-151</t>
  </si>
  <si>
    <t>Sexual Violence - Rape survivors</t>
  </si>
  <si>
    <t xml:space="preserve">Sexual Violence - Initiated PEP  </t>
  </si>
  <si>
    <t>Physical Violence - No of cases</t>
  </si>
  <si>
    <t>Physical Violence - Initiated PEP</t>
  </si>
  <si>
    <t>Emotional Violence -No of clients</t>
  </si>
  <si>
    <t>GBC Screening at OPD</t>
  </si>
  <si>
    <t>GBV Screening at IPD</t>
  </si>
  <si>
    <t>GBV Screening at MCH</t>
  </si>
  <si>
    <t>GBV Screening at CCC</t>
  </si>
  <si>
    <t>F05-003</t>
  </si>
  <si>
    <t>F05-004</t>
  </si>
  <si>
    <t>F05-005</t>
  </si>
  <si>
    <t>F05-006</t>
  </si>
  <si>
    <t>F05-007</t>
  </si>
  <si>
    <t>F05-008</t>
  </si>
  <si>
    <t>F05-009</t>
  </si>
  <si>
    <t>F05-010</t>
  </si>
  <si>
    <t>F05-011</t>
  </si>
  <si>
    <t>F05-012</t>
  </si>
  <si>
    <t>F05-013</t>
  </si>
  <si>
    <t>F05-014</t>
  </si>
  <si>
    <t>F05-015</t>
  </si>
  <si>
    <t>F05-016</t>
  </si>
  <si>
    <t>F05-017</t>
  </si>
  <si>
    <t>F05-018</t>
  </si>
  <si>
    <t>F05-019</t>
  </si>
  <si>
    <t>F05-020</t>
  </si>
  <si>
    <t>F05-021</t>
  </si>
  <si>
    <t>F05-022</t>
  </si>
  <si>
    <t>F05-023</t>
  </si>
  <si>
    <t>F05-024</t>
  </si>
  <si>
    <t>F05-025</t>
  </si>
  <si>
    <t>F05-026</t>
  </si>
  <si>
    <t>F05-027</t>
  </si>
  <si>
    <t>F05-028</t>
  </si>
  <si>
    <t>F05-029</t>
  </si>
  <si>
    <t>F05-030</t>
  </si>
  <si>
    <t>F05-031</t>
  </si>
  <si>
    <t>F05-032</t>
  </si>
  <si>
    <t>Other Violence -No of clients</t>
  </si>
  <si>
    <t>F05-033</t>
  </si>
  <si>
    <t>F05-034</t>
  </si>
  <si>
    <t>F05-035</t>
  </si>
  <si>
    <t>F05-036</t>
  </si>
  <si>
    <t>No. Screened for GBV at OPD</t>
  </si>
  <si>
    <t>No. Screened for GBV at IPD</t>
  </si>
  <si>
    <t>No. Screened for GBV at CCC</t>
  </si>
  <si>
    <t>No. Screened for GBV at MCH</t>
  </si>
  <si>
    <t>Total No of GBV cases identified at OPD</t>
  </si>
  <si>
    <t>Total Eligible IPD and OPD</t>
  </si>
  <si>
    <t>Clients seen at IPD (monthly workload)</t>
  </si>
  <si>
    <t>Clients seen at CCC (monthly workload)</t>
  </si>
  <si>
    <t>Clients seen at MCH (monthly workload)</t>
  </si>
  <si>
    <t>Total No of GBV cases identified at IPD</t>
  </si>
  <si>
    <t>Total No of GBV cases identified at CCC</t>
  </si>
  <si>
    <t>Total No of GBV cases identified at MCH</t>
  </si>
  <si>
    <t>Total Sexual Violence Initiated PEP</t>
  </si>
  <si>
    <t>Infants of 0-2 Months confirmed HIV +ve initiated on ART</t>
  </si>
  <si>
    <t>Infants of 2-12 Months confirmed HIV +ve initiated on ART</t>
  </si>
  <si>
    <t xml:space="preserve">This is a count of GBV cases identifies within a reporting month. </t>
  </si>
  <si>
    <t>GBV register Column "Q"</t>
  </si>
  <si>
    <t xml:space="preserve">This is a count of GVB rape survivors who presented with Sexual Violence at facility during the reporting month. </t>
  </si>
  <si>
    <t xml:space="preserve">This is a count of GBV clients who presented  at facility with cases of Sexual Violence and started on PEP during the reporting month. </t>
  </si>
  <si>
    <t>GBV register Column "V"</t>
  </si>
  <si>
    <t xml:space="preserve">This is a count of GBV clients who presented at facility with physical violence during the reporting month. </t>
  </si>
  <si>
    <t xml:space="preserve">This is a count of GBV clients who presented at facility with physical violence and were started on PEP during the reporting month. </t>
  </si>
  <si>
    <t xml:space="preserve">This is a count of GBV clients who reported to have had an emotional/psychological violence during the reporting month </t>
  </si>
  <si>
    <t xml:space="preserve">This is a count of clients attending IPD Log clinic in a particular month </t>
  </si>
  <si>
    <t xml:space="preserve">IPD Log </t>
  </si>
  <si>
    <t xml:space="preserve">This is a count of clients attending IPD clinic who were screened for any form of gender based violence </t>
  </si>
  <si>
    <t xml:space="preserve">This is a count of GBV clients who reported any other form of GBV during the reporting month </t>
  </si>
  <si>
    <t xml:space="preserve">This is a count of clients attending CCC clinic in a particular month </t>
  </si>
  <si>
    <t xml:space="preserve">CCC DAR </t>
  </si>
  <si>
    <t xml:space="preserve">This is a count of clients attending CCC clinic who were screened for any form of gender based violence </t>
  </si>
  <si>
    <t xml:space="preserve">This is a count of GVB rape survivors who presented with Sexual Violence at CCC during the reporting month. </t>
  </si>
  <si>
    <t xml:space="preserve">This is a count of GBV clients who presented  at CCC with cases of Sexual Violence and started on PEP during the reporting month. </t>
  </si>
  <si>
    <t xml:space="preserve">This is a count of GBV clients who presented at CCC with physical violence during the reporting month. </t>
  </si>
  <si>
    <t xml:space="preserve">This is a count of GBV clients who presented at CCC with physical violence and were started on PEP during the reporting month. </t>
  </si>
  <si>
    <t xml:space="preserve">OPD Register Log </t>
  </si>
  <si>
    <t>Infants of 0-12 Months HIV +Ve Initiated on ART</t>
  </si>
  <si>
    <t xml:space="preserve">Breastfeeding at initiation of ART   </t>
  </si>
  <si>
    <t>This data element is a total of all clients who took a HIV test during a given reporting period excluding the Tests reported in the PMTCT</t>
  </si>
  <si>
    <t>This data element is a total of all clients who tested HIV postive during a give reporting period excluding the positives at PMTCT</t>
  </si>
  <si>
    <t xml:space="preserve">Clients seen at OPD , IPD and MCH (monthly workload)                   </t>
  </si>
  <si>
    <t>Warnings Summaries</t>
  </si>
  <si>
    <t>Errors Justifications</t>
  </si>
  <si>
    <t xml:space="preserve">Type any Justifications on the section below to explain reason for the warnings on the left </t>
  </si>
  <si>
    <t>Data Gaps Warnings</t>
  </si>
  <si>
    <t>Errors Summaries</t>
  </si>
  <si>
    <t>GBV Screening at OPD</t>
  </si>
  <si>
    <t xml:space="preserve">Initiated on IPT 
</t>
  </si>
  <si>
    <t xml:space="preserve">Completed IPT
</t>
  </si>
  <si>
    <t>This is a count of the current patients on ART  who were started any course of IPT during the reporting period prior to the one being reported</t>
  </si>
  <si>
    <t>A count of PLHIV newly enrolled in HIV clinical care who completed IPT treatment from those that started and were newly starting ART</t>
  </si>
  <si>
    <t>A count of PLHIV already on ART HIV clinical care who start and complete IPT when newly starting ART while they were previously receiving ART</t>
  </si>
  <si>
    <t>Screened for TB</t>
  </si>
  <si>
    <t>Sexual Rape survivors [OPD, IPD , MCH and CCC]</t>
  </si>
  <si>
    <t xml:space="preserve">Sexual violence </t>
  </si>
  <si>
    <t>Physical &amp; emotional Violence</t>
  </si>
  <si>
    <t xml:space="preserve">No. of  Confirmed TB positive started on TB treatment </t>
  </si>
  <si>
    <t>No. of who had a positive result returned for bacteriologic diagnosis of active TB disease (No confirmed TB diagnosis)</t>
  </si>
  <si>
    <t>No. of  Confirmed TB positive started on TB treatment</t>
  </si>
  <si>
    <t>OPD Register (for under 5 and over 5)</t>
  </si>
  <si>
    <t>Screening positive for TB ( Presumptive TB clients)  Newly enrolled on ART</t>
  </si>
  <si>
    <t xml:space="preserve">Unassisted      </t>
  </si>
  <si>
    <t xml:space="preserve">1-30 Days Defaulters </t>
  </si>
  <si>
    <t>F10-08</t>
  </si>
  <si>
    <t>10.0 FP Integration</t>
  </si>
  <si>
    <t>Number of Women of reproductive age that received FP services at CCC</t>
  </si>
  <si>
    <t>FP Integration</t>
  </si>
  <si>
    <t>F07-021</t>
  </si>
  <si>
    <t>1-30 Days Defaulters</t>
  </si>
  <si>
    <t xml:space="preserve">This is a count of clients who missed their appointments between 1 and 30 days. </t>
  </si>
  <si>
    <t>F01-35</t>
  </si>
  <si>
    <t>F01-36</t>
  </si>
  <si>
    <t xml:space="preserve">This is a count of  WRA Received FP services at CCC </t>
  </si>
  <si>
    <t xml:space="preserve">CCC DAR  Column " BM " </t>
  </si>
  <si>
    <t xml:space="preserve">ART Register/EMR </t>
  </si>
  <si>
    <t xml:space="preserve">This is a a total count of clients who received HIV self-test and returned their HIV tests results at the facility </t>
  </si>
  <si>
    <t>HTS Self testing register column "o"</t>
  </si>
  <si>
    <t>This is a count of clients who received a HIV self-test and returned HIV positive results at the facility. it is a subset of F01-36 above</t>
  </si>
  <si>
    <t>_F00-01</t>
  </si>
  <si>
    <t>_F00-02</t>
  </si>
  <si>
    <t>_F00-03</t>
  </si>
  <si>
    <t>_F00-04</t>
  </si>
  <si>
    <t>_F00-11</t>
  </si>
  <si>
    <t>F04-032</t>
  </si>
  <si>
    <t>F04-152</t>
  </si>
  <si>
    <t>F04-092</t>
  </si>
  <si>
    <t>Reffered for treatment</t>
  </si>
  <si>
    <t>F09-021</t>
  </si>
  <si>
    <t>Note: Please DON'T cut paste any cell, this will interfere with the formulas.</t>
  </si>
  <si>
    <t>Screening positive for TB ( Presumptive TB clients)  Previously enrolled on ART</t>
  </si>
  <si>
    <r>
      <t xml:space="preserve">Incase you copy data, please </t>
    </r>
    <r>
      <rPr>
        <b/>
        <sz val="20"/>
        <color theme="1"/>
        <rFont val="Calibri"/>
        <family val="2"/>
        <scheme val="minor"/>
      </rPr>
      <t>paste as value</t>
    </r>
    <r>
      <rPr>
        <b/>
        <sz val="20"/>
        <color rgb="FFFF0000"/>
        <rFont val="Calibri"/>
        <family val="2"/>
        <scheme val="minor"/>
      </rPr>
      <t xml:space="preserve"> to avoid unexpected Red alerts</t>
    </r>
  </si>
  <si>
    <r>
      <t>Total Eligible For HTS Testing in OPD</t>
    </r>
    <r>
      <rPr>
        <b/>
        <sz val="20"/>
        <color theme="9" tint="0.59999389629810485"/>
        <rFont val="Calibri"/>
        <family val="2"/>
        <scheme val="minor"/>
      </rPr>
      <t xml:space="preserve"> IPD and MCH</t>
    </r>
  </si>
  <si>
    <r>
      <t>Directly Assisted</t>
    </r>
    <r>
      <rPr>
        <b/>
        <sz val="20"/>
        <color theme="1"/>
        <rFont val="Calibri"/>
        <family val="2"/>
        <scheme val="minor"/>
      </rPr>
      <t xml:space="preserve">  </t>
    </r>
  </si>
  <si>
    <r>
      <t>Current on PREP (</t>
    </r>
    <r>
      <rPr>
        <i/>
        <sz val="20"/>
        <color theme="1"/>
        <rFont val="Calibri"/>
        <family val="2"/>
        <scheme val="minor"/>
      </rPr>
      <t>sum unique clients that received PrEP from October to Date</t>
    </r>
    <r>
      <rPr>
        <b/>
        <sz val="20"/>
        <color theme="1"/>
        <rFont val="Calibri"/>
        <family val="2"/>
        <scheme val="minor"/>
      </rPr>
      <t>)</t>
    </r>
  </si>
  <si>
    <r>
      <t>Discontinued PrEP</t>
    </r>
    <r>
      <rPr>
        <b/>
        <sz val="20"/>
        <color theme="1"/>
        <rFont val="Calibri"/>
        <family val="2"/>
        <scheme val="minor"/>
      </rPr>
      <t xml:space="preserve">   </t>
    </r>
  </si>
  <si>
    <r>
      <t>HIV positive at 1</t>
    </r>
    <r>
      <rPr>
        <vertAlign val="superscript"/>
        <sz val="20"/>
        <color theme="1"/>
        <rFont val="Calibri"/>
        <family val="2"/>
        <scheme val="minor"/>
      </rPr>
      <t>st</t>
    </r>
    <r>
      <rPr>
        <sz val="20"/>
        <color theme="1"/>
        <rFont val="Calibri"/>
        <family val="2"/>
        <scheme val="minor"/>
      </rPr>
      <t xml:space="preserve"> visit</t>
    </r>
  </si>
  <si>
    <r>
      <rPr>
        <b/>
        <sz val="20"/>
        <color theme="1"/>
        <rFont val="Calibri"/>
        <family val="2"/>
        <scheme val="minor"/>
      </rPr>
      <t xml:space="preserve">ANC 2 visit and above </t>
    </r>
    <r>
      <rPr>
        <sz val="20"/>
        <color theme="1"/>
        <rFont val="Calibri"/>
        <family val="2"/>
        <scheme val="minor"/>
      </rPr>
      <t xml:space="preserve">
</t>
    </r>
    <r>
      <rPr>
        <i/>
        <sz val="20"/>
        <color theme="1"/>
        <rFont val="Calibri"/>
        <family val="2"/>
        <scheme val="minor"/>
      </rPr>
      <t>(includes 2nd, 3rd, 4th ANC visits etc.)</t>
    </r>
  </si>
  <si>
    <r>
      <rPr>
        <b/>
        <sz val="20"/>
        <color theme="1"/>
        <rFont val="Calibri"/>
        <family val="2"/>
        <scheme val="minor"/>
      </rPr>
      <t xml:space="preserve">ANC 2 and above </t>
    </r>
    <r>
      <rPr>
        <i/>
        <sz val="20"/>
        <color theme="1"/>
        <rFont val="Calibri"/>
        <family val="2"/>
        <scheme val="minor"/>
      </rPr>
      <t>(includes 2nd, 3rd, 4th ANC visits etc)</t>
    </r>
  </si>
  <si>
    <r>
      <t>Infant Prophylaxis</t>
    </r>
    <r>
      <rPr>
        <b/>
        <i/>
        <sz val="20"/>
        <color theme="1"/>
        <rFont val="Calibri"/>
        <family val="2"/>
        <scheme val="minor"/>
      </rPr>
      <t xml:space="preserve"> 
</t>
    </r>
    <r>
      <rPr>
        <i/>
        <sz val="20"/>
        <color theme="1"/>
        <rFont val="Calibri"/>
        <family val="2"/>
        <scheme val="minor"/>
      </rPr>
      <t>(use  mother's age for reporting)</t>
    </r>
  </si>
  <si>
    <r>
      <t xml:space="preserve">No. of patients whose specimens were sent for </t>
    </r>
    <r>
      <rPr>
        <b/>
        <sz val="20"/>
        <color theme="1"/>
        <rFont val="Calibri"/>
        <family val="2"/>
        <scheme val="minor"/>
      </rPr>
      <t>Smear Only</t>
    </r>
  </si>
  <si>
    <r>
      <t xml:space="preserve">No. of patients whose specimens were sent for </t>
    </r>
    <r>
      <rPr>
        <b/>
        <sz val="20"/>
        <color theme="1"/>
        <rFont val="Calibri"/>
        <family val="2"/>
        <scheme val="minor"/>
      </rPr>
      <t>Gene Xpert MTB /R if Assay</t>
    </r>
  </si>
  <si>
    <r>
      <t xml:space="preserve">No. of patients whose specimens were sent for </t>
    </r>
    <r>
      <rPr>
        <b/>
        <sz val="20"/>
        <color theme="1"/>
        <rFont val="Calibri"/>
        <family val="2"/>
        <scheme val="minor"/>
      </rPr>
      <t>Other (No Xpert)</t>
    </r>
  </si>
  <si>
    <r>
      <t xml:space="preserve">Cause of  death (COD) </t>
    </r>
    <r>
      <rPr>
        <b/>
        <i/>
        <sz val="20"/>
        <color theme="1"/>
        <rFont val="Calibri"/>
        <family val="2"/>
        <scheme val="minor"/>
      </rPr>
      <t>Optional</t>
    </r>
  </si>
  <si>
    <r>
      <t xml:space="preserve">TB cases with known </t>
    </r>
    <r>
      <rPr>
        <b/>
        <sz val="20"/>
        <color theme="5"/>
        <rFont val="Calibri"/>
        <family val="2"/>
        <scheme val="minor"/>
      </rPr>
      <t>HIV +ve</t>
    </r>
    <r>
      <rPr>
        <sz val="20"/>
        <color theme="1"/>
        <rFont val="Calibri"/>
        <family val="2"/>
        <scheme val="minor"/>
      </rPr>
      <t xml:space="preserve"> status (KP) at entry in TB clinic (TB_STAT_KP)</t>
    </r>
  </si>
  <si>
    <t>Form Navigation Helper</t>
  </si>
  <si>
    <t>Index clients offered safe index testing services</t>
  </si>
  <si>
    <t>Index accepted safe index testing services</t>
  </si>
  <si>
    <t>PREP_CT</t>
  </si>
  <si>
    <t>F02-058</t>
  </si>
  <si>
    <t>50-54</t>
  </si>
  <si>
    <t>55-59</t>
  </si>
  <si>
    <t>1.12 HTS_RECENT</t>
  </si>
  <si>
    <t>F01-120</t>
  </si>
  <si>
    <t>F01-121</t>
  </si>
  <si>
    <t>F01-122</t>
  </si>
  <si>
    <t>F01-123</t>
  </si>
  <si>
    <t>F01-124</t>
  </si>
  <si>
    <t>F01-125</t>
  </si>
  <si>
    <t>F01-126</t>
  </si>
  <si>
    <t>F01-127</t>
  </si>
  <si>
    <t>F01-128</t>
  </si>
  <si>
    <t>F01-129</t>
  </si>
  <si>
    <t>F01-130</t>
  </si>
  <si>
    <t>F01-131</t>
  </si>
  <si>
    <r>
      <rPr>
        <sz val="20"/>
        <color theme="0" tint="-0.34998626667073579"/>
        <rFont val="Calibri"/>
        <family val="2"/>
        <scheme val="minor"/>
      </rPr>
      <t>HTS_RECENT-</t>
    </r>
    <r>
      <rPr>
        <sz val="20"/>
        <color theme="1"/>
        <rFont val="Calibri"/>
        <family val="2"/>
        <scheme val="minor"/>
      </rPr>
      <t xml:space="preserve"> 
</t>
    </r>
    <r>
      <rPr>
        <b/>
        <sz val="20"/>
        <color theme="1"/>
        <rFont val="Calibri"/>
        <family val="2"/>
        <scheme val="minor"/>
      </rPr>
      <t>Index Testing</t>
    </r>
  </si>
  <si>
    <r>
      <rPr>
        <sz val="20"/>
        <color theme="0" tint="-0.34998626667073579"/>
        <rFont val="Calibri"/>
        <family val="2"/>
        <scheme val="minor"/>
      </rPr>
      <t>HTS_RECENT -</t>
    </r>
    <r>
      <rPr>
        <b/>
        <sz val="20"/>
        <color theme="1"/>
        <rFont val="Calibri"/>
        <family val="2"/>
        <scheme val="minor"/>
      </rPr>
      <t>Emergency Ward</t>
    </r>
  </si>
  <si>
    <r>
      <rPr>
        <sz val="20"/>
        <color theme="0" tint="-0.34998626667073579"/>
        <rFont val="Calibri"/>
        <family val="2"/>
        <scheme val="minor"/>
      </rPr>
      <t>HTS_RECENT -</t>
    </r>
    <r>
      <rPr>
        <b/>
        <sz val="20"/>
        <color theme="1"/>
        <rFont val="Calibri"/>
        <family val="2"/>
        <scheme val="minor"/>
      </rPr>
      <t>Inpatient Services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</si>
  <si>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(ANC1 Only)</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</si>
  <si>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STI Clinic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</si>
  <si>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TB Clinics</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</si>
  <si>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VCT</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</si>
  <si>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Other PITC</t>
    </r>
  </si>
  <si>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Confirmatory Testing</t>
    </r>
  </si>
  <si>
    <t>Confirmed Recent</t>
  </si>
  <si>
    <t>Confirmed Long-Term</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</si>
  <si>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PMTCT (Post ANC1)</t>
    </r>
  </si>
  <si>
    <t>F01-132</t>
  </si>
  <si>
    <t>F01-133</t>
  </si>
  <si>
    <t>F01-134</t>
  </si>
  <si>
    <t>F01-135</t>
  </si>
  <si>
    <t>F01-136</t>
  </si>
  <si>
    <t>F01-137</t>
  </si>
  <si>
    <t>F01-138</t>
  </si>
  <si>
    <t>F01-139</t>
  </si>
  <si>
    <t>Social Network Strategy (SNS)</t>
  </si>
  <si>
    <t>F01-251</t>
  </si>
  <si>
    <t>F01-252</t>
  </si>
  <si>
    <t>F01-045</t>
  </si>
  <si>
    <t>Documented Negative</t>
  </si>
  <si>
    <r>
      <rPr>
        <sz val="20"/>
        <color theme="0" tint="-0.34998626667073579"/>
        <rFont val="Calibri"/>
        <family val="2"/>
        <scheme val="minor"/>
      </rPr>
      <t>HTS_RECENT -</t>
    </r>
    <r>
      <rPr>
        <sz val="20"/>
        <color theme="1"/>
        <rFont val="Calibri"/>
        <family val="2"/>
        <scheme val="minor"/>
      </rPr>
      <t xml:space="preserve">
</t>
    </r>
    <r>
      <rPr>
        <b/>
        <sz val="20"/>
        <color theme="1"/>
        <rFont val="Calibri"/>
        <family val="2"/>
        <scheme val="minor"/>
      </rPr>
      <t>Social Network Strategy (SNS)</t>
    </r>
  </si>
  <si>
    <t>F01-140</t>
  </si>
  <si>
    <t>F01-141</t>
  </si>
  <si>
    <r>
      <t xml:space="preserve">Tested           </t>
    </r>
    <r>
      <rPr>
        <b/>
        <sz val="22"/>
        <color theme="1"/>
        <rFont val="Calibri"/>
        <family val="2"/>
        <scheme val="minor"/>
      </rPr>
      <t xml:space="preserve"> </t>
    </r>
  </si>
  <si>
    <r>
      <t xml:space="preserve">Tested             </t>
    </r>
    <r>
      <rPr>
        <b/>
        <sz val="22"/>
        <color theme="1"/>
        <rFont val="Calibri"/>
        <family val="2"/>
        <scheme val="minor"/>
      </rPr>
      <t xml:space="preserve"> </t>
    </r>
  </si>
  <si>
    <r>
      <t xml:space="preserve">Directly Assisted                   </t>
    </r>
    <r>
      <rPr>
        <b/>
        <sz val="22"/>
        <color theme="1"/>
        <rFont val="Calibri"/>
        <family val="2"/>
        <scheme val="minor"/>
      </rPr>
      <t xml:space="preserve">       </t>
    </r>
  </si>
  <si>
    <r>
      <t xml:space="preserve">Unassisted : Sex partner           </t>
    </r>
    <r>
      <rPr>
        <b/>
        <sz val="22"/>
        <color theme="1"/>
        <rFont val="Calibri"/>
        <family val="2"/>
        <scheme val="minor"/>
      </rPr>
      <t xml:space="preserve"> </t>
    </r>
  </si>
  <si>
    <r>
      <t xml:space="preserve">Assessed for HIV risk             </t>
    </r>
    <r>
      <rPr>
        <b/>
        <sz val="22"/>
        <color theme="1"/>
        <rFont val="Calibri"/>
        <family val="2"/>
        <scheme val="minor"/>
      </rPr>
      <t xml:space="preserve">   </t>
    </r>
  </si>
  <si>
    <r>
      <t xml:space="preserve">Clients eligible for PrEP                     </t>
    </r>
    <r>
      <rPr>
        <b/>
        <sz val="22"/>
        <color theme="1"/>
        <rFont val="Calibri"/>
        <family val="2"/>
        <scheme val="minor"/>
      </rPr>
      <t xml:space="preserve">  </t>
    </r>
  </si>
  <si>
    <r>
      <t>Discordant couples at PMTCT</t>
    </r>
    <r>
      <rPr>
        <b/>
        <sz val="22"/>
        <color theme="1"/>
        <rFont val="Calibri"/>
        <family val="2"/>
        <scheme val="minor"/>
      </rPr>
      <t xml:space="preserve">  </t>
    </r>
  </si>
  <si>
    <r>
      <t xml:space="preserve">New on ART (IPT)                     </t>
    </r>
    <r>
      <rPr>
        <b/>
        <sz val="22"/>
        <color theme="1"/>
        <rFont val="Calibri"/>
        <family val="2"/>
        <scheme val="minor"/>
      </rPr>
      <t xml:space="preserve"> </t>
    </r>
  </si>
  <si>
    <r>
      <t xml:space="preserve">Already on ART (IPT)                </t>
    </r>
    <r>
      <rPr>
        <b/>
        <sz val="22"/>
        <color theme="1"/>
        <rFont val="Calibri"/>
        <family val="2"/>
        <scheme val="minor"/>
      </rPr>
      <t xml:space="preserve"> </t>
    </r>
  </si>
  <si>
    <r>
      <t xml:space="preserve">New on ART (IPT)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</si>
  <si>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</si>
  <si>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Previously on ART                     </t>
    </r>
    <r>
      <rPr>
        <b/>
        <sz val="22"/>
        <color theme="1"/>
        <rFont val="Calibri"/>
        <family val="2"/>
        <scheme val="minor"/>
      </rPr>
      <t xml:space="preserve"> </t>
    </r>
  </si>
  <si>
    <r>
      <t xml:space="preserve">Negative                                  </t>
    </r>
    <r>
      <rPr>
        <b/>
        <sz val="22"/>
        <color theme="1"/>
        <rFont val="Calibri"/>
        <family val="2"/>
        <scheme val="minor"/>
      </rPr>
      <t xml:space="preserve"> </t>
    </r>
  </si>
  <si>
    <r>
      <t xml:space="preserve">Suspected cancer                    </t>
    </r>
    <r>
      <rPr>
        <b/>
        <sz val="22"/>
        <color theme="1"/>
        <rFont val="Calibri"/>
        <family val="2"/>
        <scheme val="minor"/>
      </rPr>
      <t xml:space="preserve"> </t>
    </r>
  </si>
  <si>
    <r>
      <t xml:space="preserve">Cryotherapy                            </t>
    </r>
    <r>
      <rPr>
        <b/>
        <sz val="22"/>
        <color theme="1"/>
        <rFont val="Calibri"/>
        <family val="2"/>
        <scheme val="minor"/>
      </rPr>
      <t xml:space="preserve"> </t>
    </r>
  </si>
  <si>
    <r>
      <t xml:space="preserve">LEEP                                         </t>
    </r>
    <r>
      <rPr>
        <b/>
        <sz val="22"/>
        <color theme="1"/>
        <rFont val="Calibri"/>
        <family val="2"/>
        <scheme val="minor"/>
      </rPr>
      <t xml:space="preserve"> </t>
    </r>
  </si>
  <si>
    <r>
      <t>Thermocoagulation</t>
    </r>
    <r>
      <rPr>
        <b/>
        <sz val="22"/>
        <color theme="1"/>
        <rFont val="Calibri"/>
        <family val="2"/>
        <scheme val="minor"/>
      </rPr>
      <t xml:space="preserve">                 </t>
    </r>
  </si>
  <si>
    <r>
      <t xml:space="preserve">Positive                                   </t>
    </r>
    <r>
      <rPr>
        <b/>
        <sz val="22"/>
        <color theme="1"/>
        <rFont val="Calibri"/>
        <family val="2"/>
        <scheme val="minor"/>
      </rPr>
      <t xml:space="preserve">  </t>
    </r>
  </si>
  <si>
    <r>
      <t xml:space="preserve">Negative                                 </t>
    </r>
    <r>
      <rPr>
        <b/>
        <sz val="22"/>
        <color theme="1"/>
        <rFont val="Calibri"/>
        <family val="2"/>
        <scheme val="minor"/>
      </rPr>
      <t xml:space="preserve">  </t>
    </r>
  </si>
  <si>
    <r>
      <t>Initiated PEP</t>
    </r>
    <r>
      <rPr>
        <b/>
        <sz val="22"/>
        <color theme="1"/>
        <rFont val="Calibri"/>
        <family val="2"/>
        <scheme val="minor"/>
      </rPr>
      <t xml:space="preserve">                            </t>
    </r>
  </si>
  <si>
    <r>
      <t xml:space="preserve">No. of clients                     </t>
    </r>
    <r>
      <rPr>
        <b/>
        <sz val="22"/>
        <color theme="1"/>
        <rFont val="Calibri"/>
        <family val="2"/>
        <scheme val="minor"/>
      </rPr>
      <t xml:space="preserve"> </t>
    </r>
  </si>
  <si>
    <r>
      <t xml:space="preserve">Screened for STI                  </t>
    </r>
    <r>
      <rPr>
        <b/>
        <sz val="22"/>
        <color theme="1"/>
        <rFont val="Calibri"/>
        <family val="2"/>
        <scheme val="minor"/>
      </rPr>
      <t xml:space="preserve">    </t>
    </r>
  </si>
  <si>
    <r>
      <t xml:space="preserve">Treated for STI                       </t>
    </r>
    <r>
      <rPr>
        <b/>
        <sz val="22"/>
        <color theme="1"/>
        <rFont val="Calibri"/>
        <family val="2"/>
        <scheme val="minor"/>
      </rPr>
      <t xml:space="preserve"> </t>
    </r>
  </si>
  <si>
    <r>
      <t>Tested for HIV</t>
    </r>
    <r>
      <rPr>
        <b/>
        <sz val="22"/>
        <color theme="1"/>
        <rFont val="Calibri"/>
        <family val="2"/>
        <scheme val="minor"/>
      </rPr>
      <t xml:space="preserve">                         </t>
    </r>
  </si>
  <si>
    <r>
      <t>HIV positive at 1</t>
    </r>
    <r>
      <rPr>
        <vertAlign val="superscript"/>
        <sz val="22"/>
        <color theme="1"/>
        <rFont val="Calibri"/>
        <family val="2"/>
        <scheme val="minor"/>
      </rPr>
      <t>st</t>
    </r>
    <r>
      <rPr>
        <sz val="22"/>
        <color theme="1"/>
        <rFont val="Calibri"/>
        <family val="2"/>
        <scheme val="minor"/>
      </rPr>
      <t xml:space="preserve"> visit           </t>
    </r>
  </si>
  <si>
    <r>
      <t xml:space="preserve">No. seroconverted </t>
    </r>
    <r>
      <rPr>
        <b/>
        <sz val="22"/>
        <color theme="1"/>
        <rFont val="Calibri"/>
        <family val="2"/>
        <scheme val="minor"/>
      </rPr>
      <t xml:space="preserve"> </t>
    </r>
  </si>
  <si>
    <r>
      <t xml:space="preserve">No. pregnant </t>
    </r>
    <r>
      <rPr>
        <b/>
        <sz val="22"/>
        <color theme="1"/>
        <rFont val="Calibri"/>
        <family val="2"/>
        <scheme val="minor"/>
      </rPr>
      <t xml:space="preserve"> </t>
    </r>
  </si>
  <si>
    <r>
      <t xml:space="preserve">New (1st) ANC clients (PMTCT_STAT_Den)  </t>
    </r>
    <r>
      <rPr>
        <b/>
        <sz val="22"/>
        <color theme="1"/>
        <rFont val="Calibri"/>
        <family val="2"/>
        <scheme val="minor"/>
      </rPr>
      <t xml:space="preserve">       </t>
    </r>
  </si>
  <si>
    <r>
      <t>Initial test at ANC 1</t>
    </r>
    <r>
      <rPr>
        <b/>
        <sz val="22"/>
        <color theme="1"/>
        <rFont val="Calibri"/>
        <family val="2"/>
        <scheme val="minor"/>
      </rPr>
      <t xml:space="preserve">                  </t>
    </r>
  </si>
  <si>
    <r>
      <rPr>
        <b/>
        <sz val="22"/>
        <color theme="1"/>
        <rFont val="Calibri"/>
        <family val="2"/>
        <scheme val="minor"/>
      </rPr>
      <t xml:space="preserve">ANC 2 visit and above </t>
    </r>
    <r>
      <rPr>
        <sz val="22"/>
        <color theme="1"/>
        <rFont val="Calibri"/>
        <family val="2"/>
        <scheme val="minor"/>
      </rPr>
      <t xml:space="preserve">
</t>
    </r>
    <r>
      <rPr>
        <i/>
        <sz val="22"/>
        <color theme="1"/>
        <rFont val="Calibri"/>
        <family val="2"/>
        <scheme val="minor"/>
      </rPr>
      <t>(includes 2nd, 3rd, 4th ANC visits etc.)</t>
    </r>
  </si>
  <si>
    <r>
      <t xml:space="preserve">Initial test at ANC 2 and above             </t>
    </r>
    <r>
      <rPr>
        <b/>
        <sz val="22"/>
        <color theme="1"/>
        <rFont val="Calibri"/>
        <family val="2"/>
        <scheme val="minor"/>
      </rPr>
      <t xml:space="preserve"> </t>
    </r>
  </si>
  <si>
    <r>
      <t>Positive result at L&amp;D</t>
    </r>
    <r>
      <rPr>
        <b/>
        <sz val="22"/>
        <color theme="1"/>
        <rFont val="Calibri"/>
        <family val="2"/>
        <scheme val="minor"/>
      </rPr>
      <t xml:space="preserve">                </t>
    </r>
  </si>
  <si>
    <r>
      <t>Retesting Positive result at L&amp;D</t>
    </r>
    <r>
      <rPr>
        <b/>
        <sz val="22"/>
        <color theme="1"/>
        <rFont val="Calibri"/>
        <family val="2"/>
        <scheme val="minor"/>
      </rPr>
      <t xml:space="preserve">            </t>
    </r>
  </si>
  <si>
    <r>
      <t xml:space="preserve">Positive at PNC &lt;=6wks           </t>
    </r>
    <r>
      <rPr>
        <b/>
        <sz val="22"/>
        <color theme="1"/>
        <rFont val="Calibri"/>
        <family val="2"/>
        <scheme val="minor"/>
      </rPr>
      <t xml:space="preserve">     </t>
    </r>
  </si>
  <si>
    <r>
      <t>Male partners tested for HIV at ANC</t>
    </r>
    <r>
      <rPr>
        <b/>
        <sz val="22"/>
        <color theme="1"/>
        <rFont val="Calibri"/>
        <family val="2"/>
        <scheme val="minor"/>
      </rPr>
      <t xml:space="preserve">  </t>
    </r>
  </si>
  <si>
    <r>
      <rPr>
        <b/>
        <sz val="22"/>
        <color theme="1"/>
        <rFont val="Calibri"/>
        <family val="2"/>
        <scheme val="minor"/>
      </rPr>
      <t xml:space="preserve">ANC 2 and above 
</t>
    </r>
    <r>
      <rPr>
        <i/>
        <sz val="22"/>
        <color theme="1"/>
        <rFont val="Calibri"/>
        <family val="2"/>
        <scheme val="minor"/>
      </rPr>
      <t>(includes 2nd, 3rd, 4th ANC visits etc)</t>
    </r>
  </si>
  <si>
    <r>
      <t xml:space="preserve">Current on ART (PMTCT)       </t>
    </r>
    <r>
      <rPr>
        <b/>
        <sz val="22"/>
        <color theme="1"/>
        <rFont val="Calibri"/>
        <family val="2"/>
        <scheme val="minor"/>
      </rPr>
      <t xml:space="preserve">    </t>
    </r>
  </si>
  <si>
    <r>
      <t>Infant Prophylaxis</t>
    </r>
    <r>
      <rPr>
        <b/>
        <i/>
        <sz val="22"/>
        <color theme="1"/>
        <rFont val="Calibri"/>
        <family val="2"/>
        <scheme val="minor"/>
      </rPr>
      <t xml:space="preserve"> 
</t>
    </r>
    <r>
      <rPr>
        <i/>
        <sz val="22"/>
        <color theme="1"/>
        <rFont val="Calibri"/>
        <family val="2"/>
        <scheme val="minor"/>
      </rPr>
      <t>(use  mother's age for reporting)</t>
    </r>
  </si>
  <si>
    <r>
      <t>Infant Prophylaxis_PNC&lt; 6wks</t>
    </r>
    <r>
      <rPr>
        <b/>
        <sz val="22"/>
        <color theme="1"/>
        <rFont val="Calibri"/>
        <family val="2"/>
        <scheme val="minor"/>
      </rPr>
      <t xml:space="preserve">  </t>
    </r>
  </si>
  <si>
    <r>
      <t xml:space="preserve">Starting ART)                   </t>
    </r>
    <r>
      <rPr>
        <b/>
        <sz val="22"/>
        <color theme="1"/>
        <rFont val="Calibri"/>
        <family val="2"/>
        <scheme val="minor"/>
      </rPr>
      <t xml:space="preserve"> </t>
    </r>
  </si>
  <si>
    <r>
      <t xml:space="preserve">Currently on ART (All)             </t>
    </r>
    <r>
      <rPr>
        <b/>
        <sz val="22"/>
        <color theme="1"/>
        <rFont val="Calibri"/>
        <family val="2"/>
        <scheme val="minor"/>
      </rPr>
      <t xml:space="preserve"> </t>
    </r>
  </si>
  <si>
    <r>
      <t xml:space="preserve">No. of patients whose specimens were sent for </t>
    </r>
    <r>
      <rPr>
        <b/>
        <sz val="22"/>
        <color theme="1"/>
        <rFont val="Calibri"/>
        <family val="2"/>
        <scheme val="minor"/>
      </rPr>
      <t>Smear Only</t>
    </r>
  </si>
  <si>
    <r>
      <t xml:space="preserve">No. of patients whose specimens were sent for </t>
    </r>
    <r>
      <rPr>
        <b/>
        <sz val="22"/>
        <color theme="1"/>
        <rFont val="Calibri"/>
        <family val="2"/>
        <scheme val="minor"/>
      </rPr>
      <t>Gene Xpert MTB /R if Assay</t>
    </r>
  </si>
  <si>
    <r>
      <t xml:space="preserve">No. of patients whose specimens were sent for </t>
    </r>
    <r>
      <rPr>
        <b/>
        <sz val="22"/>
        <color theme="1"/>
        <rFont val="Calibri"/>
        <family val="2"/>
        <scheme val="minor"/>
      </rPr>
      <t>Other (No Xpert)</t>
    </r>
  </si>
  <si>
    <r>
      <t xml:space="preserve">Cause of  death (COD) </t>
    </r>
    <r>
      <rPr>
        <b/>
        <i/>
        <sz val="22"/>
        <color theme="1"/>
        <rFont val="Calibri"/>
        <family val="2"/>
        <scheme val="minor"/>
      </rPr>
      <t>Optional</t>
    </r>
  </si>
  <si>
    <t>2.0  PrEP NEW &amp; PREP_CT</t>
  </si>
  <si>
    <t>10.0 LINKAGE</t>
  </si>
  <si>
    <t>F10-01</t>
  </si>
  <si>
    <t>F10-02</t>
  </si>
  <si>
    <t>F10-03</t>
  </si>
  <si>
    <t>Linked in another UTJ Site (inter-facility linkage)</t>
  </si>
  <si>
    <t>F10-04</t>
  </si>
  <si>
    <t>Linked in another non-UTJ Site (inter-facility linkage)</t>
  </si>
  <si>
    <t>F10-05</t>
  </si>
  <si>
    <t>Total Unlinked</t>
  </si>
  <si>
    <t>F10-06</t>
  </si>
  <si>
    <t>F10-07</t>
  </si>
  <si>
    <t>F10-09</t>
  </si>
  <si>
    <t>F10-010</t>
  </si>
  <si>
    <t>F10-011</t>
  </si>
  <si>
    <t>F10-012</t>
  </si>
  <si>
    <t>F10-013</t>
  </si>
  <si>
    <t>F10-014</t>
  </si>
  <si>
    <t>F10-015</t>
  </si>
  <si>
    <t>F10-016</t>
  </si>
  <si>
    <t>F10-017</t>
  </si>
  <si>
    <t>F10-018</t>
  </si>
  <si>
    <t>F10-019</t>
  </si>
  <si>
    <t>F10-020</t>
  </si>
  <si>
    <t>Linked within this site (Intra-facility Linkage)</t>
  </si>
  <si>
    <t>PITC-Pediatric (&lt;5 Yrs)</t>
  </si>
  <si>
    <t>PITC-TB</t>
  </si>
  <si>
    <t>ANC 1</t>
  </si>
  <si>
    <t>POST ANC 1 ( ANC 2 and above , L&amp;D, PNC &lt;=6 wks )</t>
  </si>
  <si>
    <t>F10-021</t>
  </si>
  <si>
    <t>F10-022</t>
  </si>
  <si>
    <t>F10-023</t>
  </si>
  <si>
    <t>F10-024</t>
  </si>
  <si>
    <t>F10-025</t>
  </si>
  <si>
    <t>F10-026</t>
  </si>
  <si>
    <t>F10-027</t>
  </si>
  <si>
    <t>F10-028</t>
  </si>
  <si>
    <t>F10-029</t>
  </si>
  <si>
    <t>F10-030</t>
  </si>
  <si>
    <t>F10-031</t>
  </si>
  <si>
    <t>F10-032</t>
  </si>
  <si>
    <t>F10-033</t>
  </si>
  <si>
    <t>F10-034</t>
  </si>
  <si>
    <t>F10-035</t>
  </si>
  <si>
    <t>F10-036</t>
  </si>
  <si>
    <t>F10-037</t>
  </si>
  <si>
    <t>F10-038</t>
  </si>
  <si>
    <t>F10-039</t>
  </si>
  <si>
    <t>F10-040</t>
  </si>
  <si>
    <t>F10-041</t>
  </si>
  <si>
    <t>F10-042</t>
  </si>
  <si>
    <t>F10-043</t>
  </si>
  <si>
    <t>F10-044</t>
  </si>
  <si>
    <t>F10-045</t>
  </si>
  <si>
    <t>F10-046</t>
  </si>
  <si>
    <t>F10-047</t>
  </si>
  <si>
    <t>F10-048</t>
  </si>
  <si>
    <t>F10-049</t>
  </si>
  <si>
    <t>F10-050</t>
  </si>
  <si>
    <t>F10-051</t>
  </si>
  <si>
    <t>F10-052</t>
  </si>
  <si>
    <t>F10-053</t>
  </si>
  <si>
    <t>F10-054</t>
  </si>
  <si>
    <t>F10-055</t>
  </si>
  <si>
    <t>F10-056</t>
  </si>
  <si>
    <t>F10-057</t>
  </si>
  <si>
    <t>F10-058</t>
  </si>
  <si>
    <t>F10-059</t>
  </si>
  <si>
    <t>F10-060</t>
  </si>
  <si>
    <t>F10-061</t>
  </si>
  <si>
    <t>F10-062</t>
  </si>
  <si>
    <t>F10-063</t>
  </si>
  <si>
    <t>F10-064</t>
  </si>
  <si>
    <t>F10-065</t>
  </si>
  <si>
    <t>F10-066</t>
  </si>
  <si>
    <t>All Modalities</t>
  </si>
  <si>
    <t>60-64</t>
  </si>
  <si>
    <t>65+</t>
  </si>
  <si>
    <t>Prep_CT test result</t>
  </si>
  <si>
    <t>Tested for HIV while on PrEP_CT</t>
  </si>
  <si>
    <t>Tested HIV Positive while on PrEP_CT</t>
  </si>
  <si>
    <t>RTRI Recent</t>
  </si>
  <si>
    <t>RTRI Long-Term</t>
  </si>
  <si>
    <t>RITA Recent</t>
  </si>
  <si>
    <t>RITA Long-Term</t>
  </si>
  <si>
    <t>F01-1201</t>
  </si>
  <si>
    <t>F01-1211</t>
  </si>
  <si>
    <t>F01-1221</t>
  </si>
  <si>
    <t>F01-1231</t>
  </si>
  <si>
    <t>F01-1261</t>
  </si>
  <si>
    <t>F01-1271</t>
  </si>
  <si>
    <t>F01-1281</t>
  </si>
  <si>
    <t>F01-1291</t>
  </si>
  <si>
    <t>F01-1301</t>
  </si>
  <si>
    <t>F01-1311</t>
  </si>
  <si>
    <t>F01-1321</t>
  </si>
  <si>
    <t>F01-1331</t>
  </si>
  <si>
    <t>F01-1341</t>
  </si>
  <si>
    <t>F01-1351</t>
  </si>
  <si>
    <t>F01-1361</t>
  </si>
  <si>
    <t>F01-1371</t>
  </si>
  <si>
    <t>F01-1381</t>
  </si>
  <si>
    <t>F01-1391</t>
  </si>
  <si>
    <t>Pregnant</t>
  </si>
  <si>
    <t>Breastfeeding</t>
  </si>
  <si>
    <t>PREP_CT Pregnant or Breastfeeding</t>
  </si>
  <si>
    <t>F02-081</t>
  </si>
  <si>
    <t>F02-082</t>
  </si>
  <si>
    <r>
      <t xml:space="preserve">Clients that return for a followup visit or re-initiation to receive Prep ( </t>
    </r>
    <r>
      <rPr>
        <b/>
        <sz val="20"/>
        <color theme="1"/>
        <rFont val="Calibri"/>
        <family val="2"/>
        <scheme val="minor"/>
      </rPr>
      <t>excluding those newly enrolled</t>
    </r>
    <r>
      <rPr>
        <sz val="20"/>
        <color theme="1"/>
        <rFont val="Calibri"/>
        <family val="2"/>
        <scheme val="minor"/>
      </rPr>
      <t xml:space="preserve"> )</t>
    </r>
  </si>
  <si>
    <t>Serodiscordant Couple</t>
  </si>
  <si>
    <t>F02-0310</t>
  </si>
  <si>
    <t>F02-0311</t>
  </si>
  <si>
    <t>F02-0312</t>
  </si>
  <si>
    <t>F02-0313</t>
  </si>
  <si>
    <t>F02-0314</t>
  </si>
  <si>
    <t>F02-0315</t>
  </si>
  <si>
    <t>F02-0316</t>
  </si>
  <si>
    <t>F02-0317</t>
  </si>
  <si>
    <t>F02-0318</t>
  </si>
  <si>
    <t>Adolescent Girls and Young Women</t>
  </si>
  <si>
    <t>Men at high risk</t>
  </si>
  <si>
    <t>Other Women</t>
  </si>
  <si>
    <t>Not tested - Due to Adverse Events</t>
  </si>
  <si>
    <t>F01-085</t>
  </si>
  <si>
    <t>F01-250</t>
  </si>
  <si>
    <t>F01-1241</t>
  </si>
  <si>
    <t>F01-1251</t>
  </si>
  <si>
    <t>Testing Results - unassisted</t>
  </si>
  <si>
    <t>F01-37</t>
  </si>
  <si>
    <t>F01-38</t>
  </si>
  <si>
    <t>Total HTS (Excluding PMTCT)</t>
  </si>
  <si>
    <t>Total HTS (Including PMTCT)</t>
  </si>
  <si>
    <t xml:space="preserve"> Total HTS Tested</t>
  </si>
  <si>
    <t>Total HTS Positive</t>
  </si>
  <si>
    <t>F01-281</t>
  </si>
  <si>
    <t>F01-282</t>
  </si>
  <si>
    <t>Positive result at at PNC &gt; 6 weeks to 6 months</t>
  </si>
  <si>
    <t>Retesting at PNC &gt; 6 weeks to 6 months</t>
  </si>
  <si>
    <t>Retesting positive result at PNC &gt; 6 weeks to 6 months</t>
  </si>
  <si>
    <t>F06-105</t>
  </si>
  <si>
    <t>F06-106</t>
  </si>
  <si>
    <r>
      <rPr>
        <sz val="20"/>
        <color rgb="FFFF0000"/>
        <rFont val="Calibri"/>
        <family val="2"/>
        <scheme val="minor"/>
      </rPr>
      <t>Initial Test</t>
    </r>
    <r>
      <rPr>
        <sz val="20"/>
        <color theme="1"/>
        <rFont val="Calibri"/>
        <family val="2"/>
        <scheme val="minor"/>
      </rPr>
      <t xml:space="preserve"> at PNC &gt; 6 weeks to 6 months</t>
    </r>
  </si>
  <si>
    <t>F01-283</t>
  </si>
  <si>
    <t>F01-284</t>
  </si>
  <si>
    <t>F01-285</t>
  </si>
  <si>
    <t>F01-286</t>
  </si>
  <si>
    <t>1.11 HIV Testing By Population Type</t>
  </si>
  <si>
    <t>PREP_CT By Population Type</t>
  </si>
  <si>
    <t>F02-083</t>
  </si>
  <si>
    <t>F02-084</t>
  </si>
  <si>
    <t>3.0  TPT (TB Preventive Therapy): TPT / IPT Initiation and TPT / IPT Outcomes ( For All Clients Current on ART )</t>
  </si>
  <si>
    <t>Initiated on IPT/TPT this month</t>
  </si>
  <si>
    <t>Initiated on IPT this month</t>
  </si>
  <si>
    <t>Initiated on other forms of TPT this month</t>
  </si>
  <si>
    <r>
      <t>New on ART (TPT)</t>
    </r>
    <r>
      <rPr>
        <b/>
        <sz val="20"/>
        <color theme="1"/>
        <rFont val="Calibri"/>
        <family val="2"/>
        <scheme val="minor"/>
      </rPr>
      <t xml:space="preserve"> </t>
    </r>
  </si>
  <si>
    <t>Already on ART (TPT)</t>
  </si>
  <si>
    <t>New on ART (TPT)</t>
  </si>
  <si>
    <t>F03-010</t>
  </si>
  <si>
    <t>F03-020</t>
  </si>
  <si>
    <t>F06-163</t>
  </si>
  <si>
    <t>Retest Start HAART at PNC &gt; 6 weeks to 6 months</t>
  </si>
  <si>
    <r>
      <t xml:space="preserve">Initial </t>
    </r>
    <r>
      <rPr>
        <sz val="20"/>
        <color theme="1"/>
        <rFont val="Calibri"/>
        <family val="2"/>
        <scheme val="minor"/>
      </rPr>
      <t>Start HAART at PNC &gt; 6 weeks to 6 months</t>
    </r>
  </si>
  <si>
    <t>This data element is a total of all clients who took a HIV test during a given reporting period including the Tests reported in the PMTCT</t>
  </si>
  <si>
    <t>This data element is a total of all clients who tested HIV postive during a give reporting period including the positives at PMTCT</t>
  </si>
  <si>
    <t>Initiated on other forms of TPT (Rifampcin &amp; Rifapentine) this month</t>
  </si>
  <si>
    <t xml:space="preserve">Initiated on IPT 6 months ago </t>
  </si>
  <si>
    <t xml:space="preserve">Completed IPT after 6 month Initiation </t>
  </si>
  <si>
    <r>
      <t>New on ART (IPT)</t>
    </r>
    <r>
      <rPr>
        <b/>
        <sz val="20"/>
        <color theme="1"/>
        <rFont val="Calibri"/>
        <family val="2"/>
        <scheme val="minor"/>
      </rPr>
      <t xml:space="preserve"> </t>
    </r>
  </si>
  <si>
    <t>Already on ART (IPT)</t>
  </si>
  <si>
    <t>New on ART (IPT)</t>
  </si>
  <si>
    <t xml:space="preserve">Initiated on other forms of TPT (Rifampcin &amp; Rifapentine) 3 months ago </t>
  </si>
  <si>
    <t xml:space="preserve">Completed other forms of TPT (Rifampcin &amp; Rifapentine) after 3 month Initiation </t>
  </si>
  <si>
    <t>F03-13</t>
  </si>
  <si>
    <t>F03-14</t>
  </si>
  <si>
    <t>F03-15</t>
  </si>
  <si>
    <t>F03-16</t>
  </si>
  <si>
    <t>F03-17</t>
  </si>
  <si>
    <t>F03-18</t>
  </si>
  <si>
    <t>F03-19</t>
  </si>
  <si>
    <t>F03-20</t>
  </si>
  <si>
    <t>F03-21</t>
  </si>
  <si>
    <t>F03-22</t>
  </si>
  <si>
    <t>F03-23</t>
  </si>
  <si>
    <t>F03-24</t>
  </si>
  <si>
    <t>Number lost to follow-up after initiation on other forms of TPT</t>
  </si>
  <si>
    <t>Number discontinued after initiation on other forms of TPT</t>
  </si>
  <si>
    <t>Number died after initiation on other forms of TPT</t>
  </si>
  <si>
    <t>Number transferred out after initiation on other forms of TPT</t>
  </si>
  <si>
    <t xml:space="preserve">Number lost to follow-up after being initiated on IPT </t>
  </si>
  <si>
    <t>Number discontinued after being initiated on IPT</t>
  </si>
  <si>
    <t>Number died after being initiated on IPT</t>
  </si>
  <si>
    <t>Initiated on TPT this month</t>
  </si>
  <si>
    <t>3.2  TPT (TB Preventive Therapy):  Initiation and Outcomes ( For All Clients Current on ART )</t>
  </si>
  <si>
    <t>3.1  IPT  Initiation and Outcomes ( For All Clients Current on ART )</t>
  </si>
  <si>
    <t>F03-130</t>
  </si>
  <si>
    <t xml:space="preserve">Initiated on TPT this month (Rifampcin &amp; Rifapentine) </t>
  </si>
  <si>
    <t>Referred for treatment</t>
  </si>
  <si>
    <t>3.2  TPT (TB Preventive Therapy):  Initiation and outcomes among clients on ART</t>
  </si>
  <si>
    <t>3.0  TPT (TB Preventive Therapy): TPT / IPT Initiation and TPT / IPT Outcomes among clients on ART</t>
  </si>
  <si>
    <t>No. of confirmed TB-positive starting TB Treatment who were newly started on ART</t>
  </si>
  <si>
    <t>No. of confirmed TB-positive starting TB Treatment who were already on ART</t>
  </si>
  <si>
    <t>Total No. of ART patients started on TB Treatment (TX_TB_Num)</t>
  </si>
  <si>
    <t>Form 1A  version 8.0.0</t>
  </si>
  <si>
    <t>F01-331</t>
  </si>
  <si>
    <r>
      <rPr>
        <sz val="20"/>
        <color theme="4"/>
        <rFont val="Calibri"/>
        <family val="2"/>
        <scheme val="minor"/>
      </rPr>
      <t>Unassisted</t>
    </r>
    <r>
      <rPr>
        <sz val="20"/>
        <color theme="1"/>
        <rFont val="Calibri"/>
        <family val="2"/>
        <scheme val="minor"/>
      </rPr>
      <t xml:space="preserve"> : </t>
    </r>
    <r>
      <rPr>
        <sz val="20"/>
        <color theme="4"/>
        <rFont val="Calibri"/>
        <family val="2"/>
        <scheme val="minor"/>
      </rPr>
      <t>Caregiver for child</t>
    </r>
  </si>
  <si>
    <t>F02-0319</t>
  </si>
  <si>
    <t>F02-0320</t>
  </si>
  <si>
    <r>
      <t xml:space="preserve">Pregnant and Breast Feeding Women ( </t>
    </r>
    <r>
      <rPr>
        <i/>
        <sz val="20"/>
        <color theme="4"/>
        <rFont val="Calibri"/>
        <family val="2"/>
        <scheme val="minor"/>
      </rPr>
      <t>auto-calculated</t>
    </r>
    <r>
      <rPr>
        <sz val="20"/>
        <color theme="1"/>
        <rFont val="Calibri"/>
        <family val="2"/>
        <scheme val="minor"/>
      </rPr>
      <t xml:space="preserve"> )</t>
    </r>
  </si>
  <si>
    <t>Facility</t>
  </si>
  <si>
    <t>Community (associated with a facility)</t>
  </si>
  <si>
    <t>F02-0321</t>
  </si>
  <si>
    <t>F02-0322</t>
  </si>
  <si>
    <t>Oral</t>
  </si>
  <si>
    <t>Prep Initiation by Type</t>
  </si>
  <si>
    <t>Prep Initiation by Distribution Type</t>
  </si>
  <si>
    <t>Injectable</t>
  </si>
  <si>
    <t>F02-0323</t>
  </si>
  <si>
    <t>F02-0324</t>
  </si>
  <si>
    <t>F02-0325</t>
  </si>
  <si>
    <t>Prep Initiation for Pregnant and breastfeeding mothers</t>
  </si>
  <si>
    <t>Prep_CT by Distribution Type</t>
  </si>
  <si>
    <t>F02-085</t>
  </si>
  <si>
    <t>F02-086</t>
  </si>
  <si>
    <t>F02-087</t>
  </si>
  <si>
    <t>F02-088</t>
  </si>
  <si>
    <t>F02-089</t>
  </si>
  <si>
    <t>Event Driven Prep Initiations</t>
  </si>
  <si>
    <t>Number newly initiated on Event-Driven Prep</t>
  </si>
  <si>
    <t>F02-0326</t>
  </si>
  <si>
    <t>PrEP_CT Event Driven Prep</t>
  </si>
  <si>
    <t>Number Initially initiated on Event-Driven Prep who came for a refill/Restart</t>
  </si>
  <si>
    <t>F02-090</t>
  </si>
  <si>
    <t>CD4 &lt; 200</t>
  </si>
  <si>
    <t>Unknown CD4</t>
  </si>
  <si>
    <t>F07-022</t>
  </si>
  <si>
    <t>F07-023</t>
  </si>
  <si>
    <t>F07-024</t>
  </si>
  <si>
    <t>CD4 &gt;=200</t>
  </si>
  <si>
    <t xml:space="preserve">Starting ART               </t>
  </si>
  <si>
    <t>Type of TB Screening</t>
  </si>
  <si>
    <t>Symptom Screen (alone)</t>
  </si>
  <si>
    <t>CXR</t>
  </si>
  <si>
    <t>mWRD</t>
  </si>
  <si>
    <t>F07-0501</t>
  </si>
  <si>
    <t>F07-0502</t>
  </si>
  <si>
    <t>F07-0503</t>
  </si>
  <si>
    <t>Rescreening after previous negative result</t>
  </si>
  <si>
    <t>Treatment For those Rescreening after previous negative result</t>
  </si>
  <si>
    <t>First time screening</t>
  </si>
  <si>
    <t xml:space="preserve">Treatment for those screened at the 1st time and turned positives or are Suspected cancer </t>
  </si>
  <si>
    <r>
      <t xml:space="preserve">PITC-TB </t>
    </r>
    <r>
      <rPr>
        <sz val="20"/>
        <rFont val="Calibri"/>
        <family val="2"/>
        <scheme val="minor"/>
      </rPr>
      <t>( autopopulated from section 9.0)</t>
    </r>
  </si>
  <si>
    <t>Testing Results - Directly Assisted</t>
  </si>
  <si>
    <t>TB cases with a recent HIV Negative status at entry in TB clinic (TB_STAT_KN)</t>
  </si>
  <si>
    <r>
      <rPr>
        <b/>
        <sz val="20"/>
        <color theme="4"/>
        <rFont val="Calibri"/>
        <family val="2"/>
        <scheme val="minor"/>
      </rPr>
      <t>Unassisted</t>
    </r>
    <r>
      <rPr>
        <b/>
        <sz val="20"/>
        <color theme="1"/>
        <rFont val="Calibri"/>
        <family val="2"/>
        <scheme val="minor"/>
      </rPr>
      <t xml:space="preserve"> : </t>
    </r>
    <r>
      <rPr>
        <b/>
        <sz val="20"/>
        <color theme="4"/>
        <rFont val="Calibri"/>
        <family val="2"/>
        <scheme val="minor"/>
      </rPr>
      <t>Caregiver for child</t>
    </r>
  </si>
  <si>
    <t>Initial Start HAART at L&amp;D</t>
  </si>
  <si>
    <t>Initial Start HAART at PNC &gt; 6 weeks to 6 months</t>
  </si>
  <si>
    <t>Initial Test at PNC &gt; 6 weeks to 6 months</t>
  </si>
  <si>
    <t>Prep_CT by Type</t>
  </si>
  <si>
    <t>CXR (Chest X_Ray)</t>
  </si>
  <si>
    <t>Prep Register/EMR</t>
  </si>
  <si>
    <t>Refers to the number of individuals starting PrEP for the first time (outside of any clinical trial participation) through oral prep.</t>
  </si>
  <si>
    <t>Refers to the number of individuals starting PrEP for the first time (outside of any clinical trial participation) through Injectable prep. An individual should be counted under ‘Injectable’ for PrEP Type after they have received the first initiation injection dose for PrEP_NEW only if they have never been on any other PrEP regimen prior to initiating injectable PrEP</t>
  </si>
  <si>
    <t xml:space="preserve">This is a count of clients who were confirmed Pregnant and were initiated on PrEP in a particular month </t>
  </si>
  <si>
    <t xml:space="preserve">This is a count of clients who were Breastfeeding at initiation of PrEP in a particular month </t>
  </si>
  <si>
    <t>Refers to the number of individuals starting PrEP for the first time (outside of any clinical trial participation) through other non Oral and Injectable prep regimens</t>
  </si>
  <si>
    <t>This is a count of clients who were newly initiated on Prep through facility-based delivery mechanisms.</t>
  </si>
  <si>
    <t>This is a count of clients who were newly initiated on Prep through a community or other non-traditional setting (still associated with a facility) delivery mechanisms.</t>
  </si>
  <si>
    <t>This is a count of clients who took prep with a planned sex act to prevent HIV exposure</t>
  </si>
  <si>
    <t>This is a count of returning prep clients who received an HIV testing result</t>
  </si>
  <si>
    <t>This is a count of returning prep clients who received an HIV Positive testing result</t>
  </si>
  <si>
    <t xml:space="preserve">This is a count of returning prep clients who were confirmed Pregnant in a particular month </t>
  </si>
  <si>
    <t xml:space="preserve">This is a count of returning prep clients who were confirmed Breastfeeding in a particular month </t>
  </si>
  <si>
    <t>This is a count of ART clients who were screened for TB using TB ICF Form based on WHO four-symptom screen (W4SS).</t>
  </si>
  <si>
    <t>TB ICF Forrm / EMR</t>
  </si>
  <si>
    <t>This is a count of ART clients who were screened for TB using Chest X - Ray (CXR).</t>
  </si>
  <si>
    <t>X - Ray Registr / Presumptive TB Register</t>
  </si>
  <si>
    <t>This is a count of ART clients who were screened for TB using any of the molecular WHO-recommended rapid diagnostic testing. These tests include: Gene Xpert/ TB LAM and Truenat MTB.</t>
  </si>
  <si>
    <t>Presumptive TB Register/Lab  Gene Xpert Register</t>
  </si>
  <si>
    <t>This is a count of TB Cases who recently tested HIV-negative within a 6-week period, or more recently according to country clinical guidelines, and are not eligible for another HIV test at the time of presentation in the TB clinic in accordance with national HTS guidelines.</t>
  </si>
  <si>
    <t>This is a count of individuals starting HAART treatment (TX_NEW) with documented CD4 Count results &lt; 200</t>
  </si>
  <si>
    <t>This is a count of individuals starting HAART treatment (TX_NEW) with documented CD4 Count results &gt;= 200</t>
  </si>
  <si>
    <r>
      <rPr>
        <sz val="20"/>
        <color theme="1"/>
        <rFont val="Calibri"/>
        <family val="2"/>
        <scheme val="minor"/>
      </rPr>
      <t xml:space="preserve">Clients that return for a followup visit or re-initiation to receive Prep during the quarter ( </t>
    </r>
    <r>
      <rPr>
        <b/>
        <sz val="20"/>
        <color theme="1"/>
        <rFont val="Calibri"/>
        <family val="2"/>
        <scheme val="minor"/>
      </rPr>
      <t>excluding those newly enrolled on prep within the quarter</t>
    </r>
    <r>
      <rPr>
        <sz val="20"/>
        <color theme="1"/>
        <rFont val="Calibri"/>
        <family val="2"/>
        <scheme val="minor"/>
      </rPr>
      <t xml:space="preserve"> )</t>
    </r>
    <r>
      <rPr>
        <sz val="20"/>
        <color rgb="FFFF0000"/>
        <rFont val="Calibri"/>
        <family val="2"/>
        <scheme val="minor"/>
      </rPr>
      <t xml:space="preserve">
</t>
    </r>
    <r>
      <rPr>
        <sz val="20"/>
        <color theme="8" tint="-0.249977111117893"/>
        <rFont val="Calibri"/>
        <family val="2"/>
        <scheme val="minor"/>
      </rPr>
      <t>Note: a client cannot be reported on both prep_new and prep_ct within the same quarter</t>
    </r>
  </si>
  <si>
    <t>This is a count of returning prep clients who received Prep refills through facility-based delivery</t>
  </si>
  <si>
    <t>This is a count of returning Prep clients who received Prep-Refills through a community or other non-traditional setting (still associated with a facility) delivery mechanisms.</t>
  </si>
  <si>
    <t>Refers to the number of returning prep individuals who received oral-based prep regimen</t>
  </si>
  <si>
    <t>This refers to number of individuals, excluding those newly enrolled, that return for a follow-up visit or re-initiation visit to receive pre-exposure prophylaxis (PrEP) to prevent HIV during the reporting period. This count should exclude all the patients who were initiated on Prep during the reporting period and also came for refill.</t>
  </si>
  <si>
    <t>Refers to the number of returning prep individuals who received long-acting Prep injection including the initial first or second injection for indivinduals new to long acting-Injectible Prep Regimen prep regimen</t>
  </si>
  <si>
    <t>Refers to the number of returning Prep refill/restart individuals who received other non Oral and Injectable prep regimens to prevent them from HIV exposure</t>
  </si>
  <si>
    <t>This is a count of patients who were initially initiated on prep under Event-based prep and came for refill/restart during the reporting period</t>
  </si>
  <si>
    <t>This is a count of MSWs, excluding those newly enrolled, that return for a follow-up visit or re-initiation visit to receive pre-exposure prophylaxis (PrEP) to prevent HIV during the reporting period</t>
  </si>
  <si>
    <t>This is a count of FSWs , excluding those newly enrolled, that return for a follow-up visit or re-initiation visit to receive pre-exposure prophylaxis (PrEP) to prevent HIV during the reporting period</t>
  </si>
  <si>
    <t>HIV Testing Register</t>
  </si>
  <si>
    <t>mWRD (molecular WHO-recommended rapid diagnostic testing) e.g., Gene Xpert/ TB LAM, Truenat MTB</t>
  </si>
  <si>
    <t>A count of test kits distributed to parents or caregivers of children ≥2 years of age with an unknown HIV status for use in testing the children</t>
  </si>
  <si>
    <t>Total Patients Starting ART with  CD4 Status</t>
  </si>
  <si>
    <t>This is a count of individuals starting HAART treatment (TX_NEW) disaggregated by the age and sex with CD4 Count status within the reporting month . This includes patients</t>
  </si>
  <si>
    <t>Starting ART by CD4 status</t>
  </si>
  <si>
    <t>This is a count of individuals starting HAART treatment (TX_NEW) done for CD4 but with Unknown CD4 results or without undocumented CD4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</si>
</sst>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4" x14ac:knownFonts="1">
    <font>
      <sz val="11"/>
      <color theme="1"/>
      <name val="Calibri"/>
      <family val="2"/>
      <scheme val="minor"/>
    </font>
    <font>
      <sz val="10"/>
      <name val="Arial"/>
      <family val="2"/>
    </font>
    <font>
      <sz val="11"/>
      <color rgb="FF9C5700"/>
      <name val="Calibri"/>
      <family val="2"/>
      <scheme val="minor"/>
    </font>
    <font>
      <sz val="8"/>
      <name val="Calibri"/>
      <family val="2"/>
      <scheme val="minor"/>
    </font>
    <font>
      <sz val="26"/>
      <color theme="1"/>
      <name val="Calibri"/>
      <family val="2"/>
      <scheme val="minor"/>
    </font>
    <font>
      <sz val="18"/>
      <color theme="1"/>
      <name val="Calibri"/>
      <family val="2"/>
      <scheme val="minor"/>
    </font>
    <font>
      <u/>
      <sz val="11"/>
      <color theme="10"/>
      <name val="Calibri"/>
      <family val="2"/>
      <scheme val="minor"/>
    </font>
    <font>
      <sz val="20"/>
      <color theme="1"/>
      <name val="Calibri"/>
      <family val="2"/>
      <scheme val="minor"/>
    </font>
    <font>
      <b/>
      <sz val="20"/>
      <color theme="1"/>
      <name val="Calibri"/>
      <family val="2"/>
      <scheme val="minor"/>
    </font>
    <font>
      <b/>
      <sz val="20"/>
      <color rgb="FFFF0000"/>
      <name val="Calibri"/>
      <family val="2"/>
      <scheme val="minor"/>
    </font>
    <font>
      <sz val="20"/>
      <color theme="0"/>
      <name val="Calibri"/>
      <family val="2"/>
      <scheme val="minor"/>
    </font>
    <font>
      <b/>
      <sz val="20"/>
      <color theme="5"/>
      <name val="Calibri"/>
      <family val="2"/>
      <scheme val="minor"/>
    </font>
    <font>
      <b/>
      <sz val="18"/>
      <color theme="1"/>
      <name val="Calibri"/>
      <family val="2"/>
      <scheme val="minor"/>
    </font>
    <font>
      <b/>
      <sz val="20"/>
      <color theme="0"/>
      <name val="Calibri"/>
      <family val="2"/>
      <scheme val="minor"/>
    </font>
    <font>
      <b/>
      <sz val="20"/>
      <name val="Calibri"/>
      <family val="2"/>
      <scheme val="minor"/>
    </font>
    <font>
      <b/>
      <sz val="18"/>
      <color theme="0"/>
      <name val="Calibri"/>
      <family val="2"/>
      <scheme val="minor"/>
    </font>
    <font>
      <sz val="20"/>
      <color rgb="FFFF0000"/>
      <name val="Calibri"/>
      <family val="2"/>
      <scheme val="minor"/>
    </font>
    <font>
      <b/>
      <sz val="20"/>
      <color theme="9" tint="0.59999389629810485"/>
      <name val="Calibri"/>
      <family val="2"/>
      <scheme val="minor"/>
    </font>
    <font>
      <sz val="20"/>
      <name val="Calibri"/>
      <family val="2"/>
      <scheme val="minor"/>
    </font>
    <font>
      <sz val="20"/>
      <color theme="5"/>
      <name val="Calibri"/>
      <family val="2"/>
      <scheme val="minor"/>
    </font>
    <font>
      <sz val="20"/>
      <color theme="4"/>
      <name val="Calibri"/>
      <family val="2"/>
      <scheme val="minor"/>
    </font>
    <font>
      <i/>
      <sz val="20"/>
      <color theme="1"/>
      <name val="Calibri"/>
      <family val="2"/>
      <scheme val="minor"/>
    </font>
    <font>
      <sz val="18"/>
      <color theme="0"/>
      <name val="Calibri"/>
      <family val="2"/>
      <scheme val="minor"/>
    </font>
    <font>
      <vertAlign val="superscript"/>
      <sz val="20"/>
      <color theme="1"/>
      <name val="Calibri"/>
      <family val="2"/>
      <scheme val="minor"/>
    </font>
    <font>
      <b/>
      <i/>
      <sz val="20"/>
      <color theme="1"/>
      <name val="Calibri"/>
      <family val="2"/>
      <scheme val="minor"/>
    </font>
    <font>
      <sz val="20"/>
      <color theme="4" tint="-0.499984740745262"/>
      <name val="Calibri"/>
      <family val="2"/>
      <scheme val="minor"/>
    </font>
    <font>
      <b/>
      <sz val="18"/>
      <color theme="0" tint="-4.9989318521683403E-2"/>
      <name val="Calibri"/>
      <family val="2"/>
      <scheme val="minor"/>
    </font>
    <font>
      <sz val="20"/>
      <color theme="9" tint="0.39997558519241921"/>
      <name val="Calibri"/>
      <family val="2"/>
      <scheme val="minor"/>
    </font>
    <font>
      <b/>
      <sz val="18"/>
      <color rgb="FFFF0000"/>
      <name val="Calibri"/>
      <family val="2"/>
      <scheme val="minor"/>
    </font>
    <font>
      <b/>
      <sz val="22"/>
      <color theme="1"/>
      <name val="Calibri"/>
      <family val="2"/>
      <scheme val="minor"/>
    </font>
    <font>
      <b/>
      <sz val="36"/>
      <color theme="0"/>
      <name val="Calibri"/>
      <family val="2"/>
      <scheme val="minor"/>
    </font>
    <font>
      <sz val="36"/>
      <color theme="0"/>
      <name val="Calibri"/>
      <family val="2"/>
      <scheme val="minor"/>
    </font>
    <font>
      <sz val="36"/>
      <color theme="1"/>
      <name val="Calibri"/>
      <family val="2"/>
      <scheme val="minor"/>
    </font>
    <font>
      <b/>
      <i/>
      <sz val="26"/>
      <color theme="2" tint="-0.499984740745262"/>
      <name val="Calibri"/>
      <family val="2"/>
      <scheme val="minor"/>
    </font>
    <font>
      <b/>
      <sz val="28"/>
      <color theme="1"/>
      <name val="Calibri"/>
      <family val="2"/>
      <scheme val="minor"/>
    </font>
    <font>
      <sz val="28"/>
      <color theme="0"/>
      <name val="Calibri"/>
      <family val="2"/>
      <scheme val="minor"/>
    </font>
    <font>
      <sz val="28"/>
      <color theme="1"/>
      <name val="Calibri"/>
      <family val="2"/>
      <scheme val="minor"/>
    </font>
    <font>
      <sz val="28"/>
      <color theme="2" tint="-0.499984740745262"/>
      <name val="Calibri"/>
      <family val="2"/>
      <scheme val="minor"/>
    </font>
    <font>
      <sz val="22"/>
      <color theme="1"/>
      <name val="Calibri"/>
      <family val="2"/>
      <scheme val="minor"/>
    </font>
    <font>
      <b/>
      <sz val="24"/>
      <color theme="1"/>
      <name val="Calibri"/>
      <family val="2"/>
      <scheme val="minor"/>
    </font>
    <font>
      <b/>
      <sz val="26"/>
      <color rgb="FFFF0000"/>
      <name val="Calibri"/>
      <family val="2"/>
      <scheme val="minor"/>
    </font>
    <font>
      <sz val="20"/>
      <color theme="0" tint="-0.34998626667073579"/>
      <name val="Calibri"/>
      <family val="2"/>
      <scheme val="minor"/>
    </font>
    <font>
      <b/>
      <sz val="22"/>
      <color rgb="FFFF0000"/>
      <name val="Calibri"/>
      <family val="2"/>
      <scheme val="minor"/>
    </font>
    <font>
      <vertAlign val="superscript"/>
      <sz val="22"/>
      <color theme="1"/>
      <name val="Calibri"/>
      <family val="2"/>
      <scheme val="minor"/>
    </font>
    <font>
      <i/>
      <sz val="22"/>
      <color theme="1"/>
      <name val="Calibri"/>
      <family val="2"/>
      <scheme val="minor"/>
    </font>
    <font>
      <b/>
      <i/>
      <sz val="22"/>
      <color theme="1"/>
      <name val="Calibri"/>
      <family val="2"/>
      <scheme val="minor"/>
    </font>
    <font>
      <b/>
      <sz val="22"/>
      <name val="Calibri"/>
      <family val="2"/>
      <scheme val="minor"/>
    </font>
    <font>
      <i/>
      <sz val="20"/>
      <color theme="4"/>
      <name val="Calibri"/>
      <family val="2"/>
      <scheme val="minor"/>
    </font>
    <font>
      <b/>
      <sz val="20"/>
      <color theme="8"/>
      <name val="Calibri"/>
      <family val="2"/>
      <scheme val="minor"/>
    </font>
    <font>
      <b/>
      <sz val="20"/>
      <color theme="4"/>
      <name val="Calibri"/>
      <family val="2"/>
      <scheme val="minor"/>
    </font>
    <font>
      <sz val="22"/>
      <name val="Calibri"/>
      <family val="2"/>
      <scheme val="minor"/>
    </font>
    <font>
      <b/>
      <sz val="22"/>
      <color theme="8"/>
      <name val="Calibri"/>
      <family val="2"/>
      <scheme val="minor"/>
    </font>
    <font>
      <b/>
      <sz val="20"/>
      <color theme="8" tint="-0.249977111117893"/>
      <name val="Calibri"/>
      <family val="2"/>
      <scheme val="minor"/>
    </font>
    <font>
      <sz val="20"/>
      <color theme="8" tint="-0.249977111117893"/>
      <name val="Calibri"/>
      <family val="2"/>
      <scheme val="minor"/>
    </font>
  </fonts>
  <fills count="16">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EB9C"/>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
      <patternFill patternType="solid">
        <fgColor theme="0" tint="-0.34998626667073579"/>
        <bgColor indexed="64"/>
      </patternFill>
    </fill>
  </fills>
  <borders count="29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medium">
        <color theme="9"/>
      </right>
      <top style="thin">
        <color theme="2" tint="-0.249977111117893"/>
      </top>
      <bottom style="medium">
        <color theme="9"/>
      </bottom>
      <diagonal/>
    </border>
    <border>
      <left style="thin">
        <color theme="2" tint="-0.249977111117893"/>
      </left>
      <right style="thin">
        <color theme="2" tint="-0.249977111117893"/>
      </right>
      <top/>
      <bottom/>
      <diagonal/>
    </border>
    <border>
      <left style="medium">
        <color theme="9"/>
      </left>
      <right style="thin">
        <color theme="2" tint="-0.249977111117893"/>
      </right>
      <top style="medium">
        <color theme="9"/>
      </top>
      <bottom style="medium">
        <color theme="9"/>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style="medium">
        <color theme="9"/>
      </right>
      <top style="medium">
        <color theme="9"/>
      </top>
      <bottom style="medium">
        <color theme="9"/>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thin">
        <color theme="2" tint="-0.249977111117893"/>
      </left>
      <right/>
      <top style="thin">
        <color theme="2" tint="-0.249977111117893"/>
      </top>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style="thin">
        <color theme="2" tint="-0.249977111117893"/>
      </left>
      <right/>
      <top/>
      <bottom/>
      <diagonal/>
    </border>
    <border>
      <left/>
      <right style="thin">
        <color theme="2" tint="-0.249977111117893"/>
      </right>
      <top/>
      <bottom/>
      <diagonal/>
    </border>
    <border>
      <left style="thin">
        <color theme="2" tint="-0.249977111117893"/>
      </left>
      <right style="medium">
        <color theme="9"/>
      </right>
      <top/>
      <bottom style="thin">
        <color theme="2" tint="-0.249977111117893"/>
      </bottom>
      <diagonal/>
    </border>
    <border>
      <left/>
      <right style="thin">
        <color theme="2" tint="-0.249977111117893"/>
      </right>
      <top style="thin">
        <color theme="2" tint="-0.249977111117893"/>
      </top>
      <bottom/>
      <diagonal/>
    </border>
    <border>
      <left style="thin">
        <color theme="2" tint="-0.249977111117893"/>
      </left>
      <right style="medium">
        <color theme="9"/>
      </right>
      <top style="thin">
        <color theme="2" tint="-0.249977111117893"/>
      </top>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right style="thin">
        <color theme="2" tint="-0.249977111117893"/>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medium">
        <color theme="9"/>
      </left>
      <right/>
      <top style="thin">
        <color theme="2" tint="-0.249977111117893"/>
      </top>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thin">
        <color theme="2" tint="-0.249977111117893"/>
      </right>
      <top style="medium">
        <color theme="9"/>
      </top>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style="thin">
        <color theme="2" tint="-0.249977111117893"/>
      </top>
      <bottom style="medium">
        <color theme="9"/>
      </bottom>
      <diagonal/>
    </border>
    <border>
      <left style="medium">
        <color theme="9"/>
      </left>
      <right style="medium">
        <color theme="9"/>
      </right>
      <top/>
      <bottom style="thin">
        <color theme="9"/>
      </bottom>
      <diagonal/>
    </border>
    <border>
      <left style="thin">
        <color theme="2" tint="-0.249977111117893"/>
      </left>
      <right style="thin">
        <color theme="2" tint="-0.249977111117893"/>
      </right>
      <top style="medium">
        <color theme="9"/>
      </top>
      <bottom/>
      <diagonal/>
    </border>
    <border>
      <left/>
      <right style="medium">
        <color theme="9"/>
      </right>
      <top style="medium">
        <color theme="9"/>
      </top>
      <bottom style="thin">
        <color theme="2" tint="-0.249977111117893"/>
      </bottom>
      <diagonal/>
    </border>
    <border>
      <left/>
      <right style="medium">
        <color theme="9"/>
      </right>
      <top style="thin">
        <color theme="2" tint="-0.249977111117893"/>
      </top>
      <bottom style="thin">
        <color theme="2" tint="-0.249977111117893"/>
      </bottom>
      <diagonal/>
    </border>
    <border>
      <left/>
      <right style="medium">
        <color theme="9"/>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style="thin">
        <color theme="0" tint="-0.249977111117893"/>
      </right>
      <top style="thin">
        <color theme="0" tint="-0.249977111117893"/>
      </top>
      <bottom style="medium">
        <color theme="9"/>
      </bottom>
      <diagonal/>
    </border>
    <border>
      <left style="thin">
        <color theme="0" tint="-0.249977111117893"/>
      </left>
      <right style="thin">
        <color theme="0" tint="-0.249977111117893"/>
      </right>
      <top/>
      <bottom style="thin">
        <color theme="0" tint="-0.249977111117893"/>
      </bottom>
      <diagonal/>
    </border>
    <border>
      <left style="medium">
        <color theme="9"/>
      </left>
      <right style="thin">
        <color theme="2" tint="-0.249977111117893"/>
      </right>
      <top style="medium">
        <color theme="9"/>
      </top>
      <bottom style="thin">
        <color theme="2" tint="-0.249977111117893"/>
      </bottom>
      <diagonal/>
    </border>
    <border>
      <left style="medium">
        <color theme="9"/>
      </left>
      <right style="thin">
        <color theme="2" tint="-0.249977111117893"/>
      </right>
      <top style="thin">
        <color theme="2" tint="-0.249977111117893"/>
      </top>
      <bottom style="thin">
        <color theme="2" tint="-0.249977111117893"/>
      </bottom>
      <diagonal/>
    </border>
    <border>
      <left style="medium">
        <color theme="9"/>
      </left>
      <right style="thin">
        <color theme="2" tint="-0.249977111117893"/>
      </right>
      <top style="thin">
        <color theme="2" tint="-0.249977111117893"/>
      </top>
      <bottom style="medium">
        <color theme="9"/>
      </bottom>
      <diagonal/>
    </border>
    <border>
      <left style="thin">
        <color theme="2" tint="-0.249977111117893"/>
      </left>
      <right style="medium">
        <color theme="9"/>
      </right>
      <top/>
      <bottom/>
      <diagonal/>
    </border>
    <border>
      <left style="thin">
        <color theme="9"/>
      </left>
      <right style="thin">
        <color theme="9"/>
      </right>
      <top style="thin">
        <color theme="9"/>
      </top>
      <bottom style="thin">
        <color theme="9"/>
      </bottom>
      <diagonal/>
    </border>
    <border>
      <left style="thin">
        <color theme="0" tint="-0.249977111117893"/>
      </left>
      <right/>
      <top style="thin">
        <color theme="0" tint="-0.249977111117893"/>
      </top>
      <bottom style="thin">
        <color theme="0" tint="-0.249977111117893"/>
      </bottom>
      <diagonal/>
    </border>
    <border>
      <left/>
      <right style="medium">
        <color theme="9"/>
      </right>
      <top/>
      <bottom style="thin">
        <color theme="2" tint="-0.249977111117893"/>
      </bottom>
      <diagonal/>
    </border>
    <border>
      <left style="thin">
        <color theme="0" tint="-0.249977111117893"/>
      </left>
      <right style="thin">
        <color theme="0" tint="-0.249977111117893"/>
      </right>
      <top style="thin">
        <color theme="0" tint="-0.249977111117893"/>
      </top>
      <bottom style="medium">
        <color theme="9"/>
      </bottom>
      <diagonal/>
    </border>
    <border>
      <left style="medium">
        <color theme="9"/>
      </left>
      <right/>
      <top/>
      <bottom style="medium">
        <color theme="9"/>
      </bottom>
      <diagonal/>
    </border>
    <border>
      <left style="medium">
        <color theme="9"/>
      </left>
      <right style="medium">
        <color theme="9"/>
      </right>
      <top style="medium">
        <color theme="9"/>
      </top>
      <bottom style="thin">
        <color theme="2" tint="-9.9978637043366805E-2"/>
      </bottom>
      <diagonal/>
    </border>
    <border>
      <left style="medium">
        <color theme="9"/>
      </left>
      <right style="medium">
        <color theme="9"/>
      </right>
      <top style="thin">
        <color theme="2" tint="-9.9978637043366805E-2"/>
      </top>
      <bottom style="thin">
        <color theme="2" tint="-9.9978637043366805E-2"/>
      </bottom>
      <diagonal/>
    </border>
    <border>
      <left style="medium">
        <color theme="9"/>
      </left>
      <right style="medium">
        <color theme="9"/>
      </right>
      <top style="thin">
        <color theme="2" tint="-9.9978637043366805E-2"/>
      </top>
      <bottom style="medium">
        <color theme="9"/>
      </bottom>
      <diagonal/>
    </border>
    <border>
      <left style="thin">
        <color theme="0" tint="-0.249977111117893"/>
      </left>
      <right/>
      <top style="thin">
        <color theme="0" tint="-0.249977111117893"/>
      </top>
      <bottom style="medium">
        <color theme="9"/>
      </bottom>
      <diagonal/>
    </border>
    <border>
      <left style="medium">
        <color theme="9"/>
      </left>
      <right style="medium">
        <color theme="9"/>
      </right>
      <top style="thin">
        <color theme="2" tint="-9.9978637043366805E-2"/>
      </top>
      <bottom/>
      <diagonal/>
    </border>
    <border>
      <left/>
      <right style="thin">
        <color theme="6"/>
      </right>
      <top style="thin">
        <color theme="6"/>
      </top>
      <bottom style="thin">
        <color theme="6"/>
      </bottom>
      <diagonal/>
    </border>
    <border>
      <left style="thin">
        <color theme="2" tint="-0.249977111117893"/>
      </left>
      <right style="medium">
        <color theme="9"/>
      </right>
      <top/>
      <bottom style="medium">
        <color theme="9"/>
      </bottom>
      <diagonal/>
    </border>
    <border>
      <left/>
      <right style="thin">
        <color theme="6"/>
      </right>
      <top style="thin">
        <color theme="6"/>
      </top>
      <bottom style="medium">
        <color theme="9"/>
      </bottom>
      <diagonal/>
    </border>
    <border>
      <left style="thin">
        <color theme="9"/>
      </left>
      <right style="thin">
        <color theme="9"/>
      </right>
      <top/>
      <bottom style="thin">
        <color theme="9"/>
      </bottom>
      <diagonal/>
    </border>
    <border>
      <left style="medium">
        <color theme="9"/>
      </left>
      <right style="thin">
        <color theme="9"/>
      </right>
      <top style="medium">
        <color theme="9"/>
      </top>
      <bottom style="thin">
        <color theme="9"/>
      </bottom>
      <diagonal/>
    </border>
    <border>
      <left style="thin">
        <color theme="9"/>
      </left>
      <right style="thin">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medium">
        <color theme="9"/>
      </left>
      <right style="thin">
        <color theme="9"/>
      </right>
      <top style="thin">
        <color theme="9"/>
      </top>
      <bottom style="medium">
        <color theme="9"/>
      </bottom>
      <diagonal/>
    </border>
    <border>
      <left style="thin">
        <color theme="9"/>
      </left>
      <right style="thin">
        <color theme="9"/>
      </right>
      <top style="thin">
        <color theme="9"/>
      </top>
      <bottom style="medium">
        <color theme="9"/>
      </bottom>
      <diagonal/>
    </border>
    <border>
      <left style="thin">
        <color theme="9"/>
      </left>
      <right style="thin">
        <color theme="9"/>
      </right>
      <top style="medium">
        <color theme="9"/>
      </top>
      <bottom style="medium">
        <color theme="9"/>
      </bottom>
      <diagonal/>
    </border>
    <border>
      <left style="thin">
        <color theme="9"/>
      </left>
      <right style="medium">
        <color theme="9"/>
      </right>
      <top style="medium">
        <color theme="9"/>
      </top>
      <bottom style="medium">
        <color theme="9"/>
      </bottom>
      <diagonal/>
    </border>
    <border>
      <left/>
      <right style="thin">
        <color theme="9"/>
      </right>
      <top/>
      <bottom style="thin">
        <color theme="9"/>
      </bottom>
      <diagonal/>
    </border>
    <border>
      <left/>
      <right style="thin">
        <color theme="9"/>
      </right>
      <top style="thin">
        <color theme="9"/>
      </top>
      <bottom style="thin">
        <color theme="9"/>
      </bottom>
      <diagonal/>
    </border>
    <border>
      <left/>
      <right style="thin">
        <color theme="9"/>
      </right>
      <top style="thin">
        <color theme="9"/>
      </top>
      <bottom style="medium">
        <color theme="9"/>
      </bottom>
      <diagonal/>
    </border>
    <border>
      <left/>
      <right style="thin">
        <color theme="9"/>
      </right>
      <top style="medium">
        <color theme="9"/>
      </top>
      <bottom style="thin">
        <color theme="9"/>
      </bottom>
      <diagonal/>
    </border>
    <border>
      <left style="thin">
        <color theme="9"/>
      </left>
      <right style="thin">
        <color theme="9"/>
      </right>
      <top/>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medium">
        <color theme="9"/>
      </right>
      <top/>
      <bottom style="medium">
        <color theme="9"/>
      </bottom>
      <diagonal/>
    </border>
    <border>
      <left style="medium">
        <color theme="9"/>
      </left>
      <right style="thin">
        <color theme="2" tint="-9.9978637043366805E-2"/>
      </right>
      <top style="medium">
        <color theme="9"/>
      </top>
      <bottom style="thin">
        <color theme="2" tint="-9.9978637043366805E-2"/>
      </bottom>
      <diagonal/>
    </border>
    <border>
      <left style="thin">
        <color theme="2" tint="-9.9978637043366805E-2"/>
      </left>
      <right style="thin">
        <color theme="2" tint="-9.9978637043366805E-2"/>
      </right>
      <top style="medium">
        <color theme="9"/>
      </top>
      <bottom style="thin">
        <color theme="2" tint="-9.9978637043366805E-2"/>
      </bottom>
      <diagonal/>
    </border>
    <border>
      <left style="thin">
        <color theme="2" tint="-9.9978637043366805E-2"/>
      </left>
      <right style="medium">
        <color theme="9"/>
      </right>
      <top style="medium">
        <color theme="9"/>
      </top>
      <bottom style="thin">
        <color theme="2" tint="-9.9978637043366805E-2"/>
      </bottom>
      <diagonal/>
    </border>
    <border>
      <left style="medium">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medium">
        <color theme="9"/>
      </right>
      <top style="thin">
        <color theme="2" tint="-9.9978637043366805E-2"/>
      </top>
      <bottom style="thin">
        <color theme="2" tint="-9.9978637043366805E-2"/>
      </bottom>
      <diagonal/>
    </border>
    <border>
      <left style="medium">
        <color theme="9"/>
      </left>
      <right style="thin">
        <color theme="2" tint="-9.9978637043366805E-2"/>
      </right>
      <top style="thin">
        <color theme="2" tint="-9.9978637043366805E-2"/>
      </top>
      <bottom style="medium">
        <color theme="9"/>
      </bottom>
      <diagonal/>
    </border>
    <border>
      <left style="thin">
        <color theme="2" tint="-9.9978637043366805E-2"/>
      </left>
      <right style="thin">
        <color theme="2" tint="-9.9978637043366805E-2"/>
      </right>
      <top style="thin">
        <color theme="2" tint="-9.9978637043366805E-2"/>
      </top>
      <bottom style="medium">
        <color theme="9"/>
      </bottom>
      <diagonal/>
    </border>
    <border>
      <left style="thin">
        <color theme="2" tint="-9.9978637043366805E-2"/>
      </left>
      <right style="medium">
        <color theme="9"/>
      </right>
      <top style="thin">
        <color theme="2" tint="-9.9978637043366805E-2"/>
      </top>
      <bottom style="medium">
        <color theme="9"/>
      </bottom>
      <diagonal/>
    </border>
    <border>
      <left style="medium">
        <color theme="9"/>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medium">
        <color theme="9"/>
      </right>
      <top/>
      <bottom style="thin">
        <color theme="2" tint="-9.9978637043366805E-2"/>
      </bottom>
      <diagonal/>
    </border>
    <border>
      <left style="medium">
        <color theme="9"/>
      </left>
      <right style="thin">
        <color theme="6"/>
      </right>
      <top style="medium">
        <color theme="9"/>
      </top>
      <bottom style="thin">
        <color theme="6"/>
      </bottom>
      <diagonal/>
    </border>
    <border>
      <left style="thin">
        <color theme="6"/>
      </left>
      <right style="thin">
        <color theme="6"/>
      </right>
      <top style="medium">
        <color theme="9"/>
      </top>
      <bottom style="thin">
        <color theme="6"/>
      </bottom>
      <diagonal/>
    </border>
    <border>
      <left style="medium">
        <color theme="9"/>
      </left>
      <right style="thin">
        <color theme="6"/>
      </right>
      <top style="thin">
        <color theme="6"/>
      </top>
      <bottom style="medium">
        <color theme="9"/>
      </bottom>
      <diagonal/>
    </border>
    <border>
      <left/>
      <right style="medium">
        <color theme="9"/>
      </right>
      <top style="medium">
        <color theme="9"/>
      </top>
      <bottom style="medium">
        <color theme="9"/>
      </bottom>
      <diagonal/>
    </border>
    <border>
      <left style="medium">
        <color theme="9"/>
      </left>
      <right style="thin">
        <color theme="6"/>
      </right>
      <top/>
      <bottom style="medium">
        <color theme="9"/>
      </bottom>
      <diagonal/>
    </border>
    <border>
      <left/>
      <right style="thin">
        <color theme="6"/>
      </right>
      <top/>
      <bottom style="medium">
        <color theme="9"/>
      </bottom>
      <diagonal/>
    </border>
    <border>
      <left style="medium">
        <color theme="9"/>
      </left>
      <right style="thin">
        <color theme="6"/>
      </right>
      <top style="medium">
        <color theme="9"/>
      </top>
      <bottom style="medium">
        <color theme="9"/>
      </bottom>
      <diagonal/>
    </border>
    <border>
      <left style="thin">
        <color theme="6"/>
      </left>
      <right style="thin">
        <color theme="6"/>
      </right>
      <top style="medium">
        <color theme="9"/>
      </top>
      <bottom style="medium">
        <color theme="9"/>
      </bottom>
      <diagonal/>
    </border>
    <border>
      <left/>
      <right/>
      <top style="thin">
        <color theme="9"/>
      </top>
      <bottom style="thin">
        <color theme="9"/>
      </bottom>
      <diagonal/>
    </border>
    <border>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medium">
        <color theme="9"/>
      </bottom>
      <diagonal/>
    </border>
    <border>
      <left style="thin">
        <color theme="9"/>
      </left>
      <right style="thin">
        <color theme="2" tint="-9.9978637043366805E-2"/>
      </right>
      <top style="thin">
        <color theme="9"/>
      </top>
      <bottom style="thin">
        <color theme="2" tint="-9.9978637043366805E-2"/>
      </bottom>
      <diagonal/>
    </border>
    <border>
      <left style="thin">
        <color theme="2" tint="-9.9978637043366805E-2"/>
      </left>
      <right style="thin">
        <color theme="2" tint="-9.9978637043366805E-2"/>
      </right>
      <top style="thin">
        <color theme="9"/>
      </top>
      <bottom style="thin">
        <color theme="2" tint="-9.9978637043366805E-2"/>
      </bottom>
      <diagonal/>
    </border>
    <border>
      <left style="thin">
        <color theme="2" tint="-9.9978637043366805E-2"/>
      </left>
      <right style="thin">
        <color theme="9"/>
      </right>
      <top style="thin">
        <color theme="9"/>
      </top>
      <bottom style="thin">
        <color theme="2" tint="-9.9978637043366805E-2"/>
      </bottom>
      <diagonal/>
    </border>
    <border>
      <left style="thin">
        <color theme="9"/>
      </left>
      <right style="thin">
        <color theme="2" tint="-9.9978637043366805E-2"/>
      </right>
      <top/>
      <bottom style="thin">
        <color theme="2" tint="-9.9978637043366805E-2"/>
      </bottom>
      <diagonal/>
    </border>
    <border>
      <left style="thin">
        <color theme="2" tint="-9.9978637043366805E-2"/>
      </left>
      <right style="thin">
        <color theme="9"/>
      </right>
      <top/>
      <bottom style="thin">
        <color theme="2" tint="-9.9978637043366805E-2"/>
      </bottom>
      <diagonal/>
    </border>
    <border>
      <left style="thin">
        <color theme="9"/>
      </left>
      <right style="thin">
        <color theme="2" tint="-9.9978637043366805E-2"/>
      </right>
      <top/>
      <bottom style="thin">
        <color theme="9"/>
      </bottom>
      <diagonal/>
    </border>
    <border>
      <left style="thin">
        <color theme="2" tint="-9.9978637043366805E-2"/>
      </left>
      <right style="thin">
        <color theme="2" tint="-9.9978637043366805E-2"/>
      </right>
      <top/>
      <bottom style="thin">
        <color theme="9"/>
      </bottom>
      <diagonal/>
    </border>
    <border>
      <left style="thin">
        <color theme="2" tint="-9.9978637043366805E-2"/>
      </left>
      <right style="thin">
        <color theme="9"/>
      </right>
      <top/>
      <bottom style="thin">
        <color theme="9"/>
      </bottom>
      <diagonal/>
    </border>
    <border>
      <left style="thin">
        <color theme="2" tint="-9.9978637043366805E-2"/>
      </left>
      <right/>
      <top/>
      <bottom style="thin">
        <color theme="2" tint="-9.9978637043366805E-2"/>
      </bottom>
      <diagonal/>
    </border>
    <border>
      <left style="thin">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9"/>
      </right>
      <top style="thin">
        <color theme="2" tint="-9.9978637043366805E-2"/>
      </top>
      <bottom style="thin">
        <color theme="2" tint="-9.9978637043366805E-2"/>
      </bottom>
      <diagonal/>
    </border>
    <border>
      <left style="thin">
        <color theme="9"/>
      </left>
      <right style="thin">
        <color theme="2" tint="-9.9978637043366805E-2"/>
      </right>
      <top style="thin">
        <color theme="2" tint="-9.9978637043366805E-2"/>
      </top>
      <bottom style="thin">
        <color theme="9"/>
      </bottom>
      <diagonal/>
    </border>
    <border>
      <left style="thin">
        <color theme="2" tint="-9.9978637043366805E-2"/>
      </left>
      <right style="thin">
        <color theme="2" tint="-9.9978637043366805E-2"/>
      </right>
      <top style="thin">
        <color theme="2" tint="-9.9978637043366805E-2"/>
      </top>
      <bottom style="thin">
        <color theme="9"/>
      </bottom>
      <diagonal/>
    </border>
    <border>
      <left style="thin">
        <color theme="2" tint="-9.9978637043366805E-2"/>
      </left>
      <right style="thin">
        <color theme="9"/>
      </right>
      <top style="thin">
        <color theme="2" tint="-9.9978637043366805E-2"/>
      </top>
      <bottom style="thin">
        <color theme="9"/>
      </bottom>
      <diagonal/>
    </border>
    <border>
      <left style="medium">
        <color theme="9" tint="-0.249977111117893"/>
      </left>
      <right/>
      <top style="medium">
        <color theme="9" tint="-0.249977111117893"/>
      </top>
      <bottom/>
      <diagonal/>
    </border>
    <border>
      <left/>
      <right/>
      <top style="medium">
        <color theme="9" tint="-0.249977111117893"/>
      </top>
      <bottom/>
      <diagonal/>
    </border>
    <border>
      <left style="medium">
        <color theme="9" tint="-0.249977111117893"/>
      </left>
      <right/>
      <top/>
      <bottom style="medium">
        <color theme="9" tint="-0.249977111117893"/>
      </bottom>
      <diagonal/>
    </border>
    <border>
      <left/>
      <right/>
      <top/>
      <bottom style="medium">
        <color theme="9" tint="-0.249977111117893"/>
      </bottom>
      <diagonal/>
    </border>
    <border>
      <left style="medium">
        <color theme="9"/>
      </left>
      <right style="medium">
        <color theme="9" tint="-0.249977111117893"/>
      </right>
      <top style="medium">
        <color theme="9" tint="-0.249977111117893"/>
      </top>
      <bottom style="medium">
        <color theme="9" tint="-0.249977111117893"/>
      </bottom>
      <diagonal/>
    </border>
    <border>
      <left style="thin">
        <color theme="2" tint="-0.249977111117893"/>
      </left>
      <right/>
      <top style="medium">
        <color theme="9"/>
      </top>
      <bottom/>
      <diagonal/>
    </border>
    <border>
      <left/>
      <right style="medium">
        <color theme="9"/>
      </right>
      <top style="medium">
        <color theme="9"/>
      </top>
      <bottom/>
      <diagonal/>
    </border>
    <border>
      <left style="thin">
        <color theme="2" tint="-0.249977111117893"/>
      </left>
      <right/>
      <top style="medium">
        <color theme="9"/>
      </top>
      <bottom style="thin">
        <color theme="2" tint="-0.249977111117893"/>
      </bottom>
      <diagonal/>
    </border>
    <border>
      <left/>
      <right/>
      <top style="medium">
        <color theme="9"/>
      </top>
      <bottom/>
      <diagonal/>
    </border>
    <border>
      <left/>
      <right/>
      <top/>
      <bottom style="medium">
        <color theme="9"/>
      </bottom>
      <diagonal/>
    </border>
    <border>
      <left style="thin">
        <color theme="6"/>
      </left>
      <right/>
      <top style="medium">
        <color theme="9"/>
      </top>
      <bottom style="medium">
        <color theme="9"/>
      </bottom>
      <diagonal/>
    </border>
    <border>
      <left style="thin">
        <color theme="2" tint="-0.249977111117893"/>
      </left>
      <right style="thin">
        <color theme="2" tint="-0.249977111117893"/>
      </right>
      <top/>
      <bottom style="medium">
        <color theme="9"/>
      </bottom>
      <diagonal/>
    </border>
    <border>
      <left style="thin">
        <color theme="2" tint="-0.249977111117893"/>
      </left>
      <right style="medium">
        <color theme="9"/>
      </right>
      <top style="medium">
        <color theme="9"/>
      </top>
      <bottom/>
      <diagonal/>
    </border>
    <border>
      <left/>
      <right style="medium">
        <color theme="9"/>
      </right>
      <top style="thin">
        <color theme="2" tint="-0.249977111117893"/>
      </top>
      <bottom/>
      <diagonal/>
    </border>
    <border>
      <left style="thin">
        <color theme="6"/>
      </left>
      <right/>
      <top style="medium">
        <color theme="9"/>
      </top>
      <bottom style="thin">
        <color theme="6"/>
      </bottom>
      <diagonal/>
    </border>
    <border>
      <left/>
      <right/>
      <top style="thin">
        <color theme="6"/>
      </top>
      <bottom style="medium">
        <color theme="9"/>
      </bottom>
      <diagonal/>
    </border>
    <border>
      <left style="thin">
        <color theme="9"/>
      </left>
      <right style="thin">
        <color theme="9"/>
      </right>
      <top style="thin">
        <color theme="9"/>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medium">
        <color theme="9"/>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theme="9"/>
      </bottom>
      <diagonal/>
    </border>
    <border>
      <left style="medium">
        <color theme="9"/>
      </left>
      <right style="medium">
        <color theme="9"/>
      </right>
      <top style="medium">
        <color theme="9"/>
      </top>
      <bottom style="thin">
        <color theme="0" tint="-0.249977111117893"/>
      </bottom>
      <diagonal/>
    </border>
    <border>
      <left style="medium">
        <color theme="9"/>
      </left>
      <right style="medium">
        <color theme="9"/>
      </right>
      <top style="thin">
        <color theme="0" tint="-0.249977111117893"/>
      </top>
      <bottom style="thin">
        <color theme="0" tint="-0.249977111117893"/>
      </bottom>
      <diagonal/>
    </border>
    <border>
      <left style="medium">
        <color theme="9"/>
      </left>
      <right style="medium">
        <color theme="9"/>
      </right>
      <top style="thin">
        <color theme="0" tint="-0.249977111117893"/>
      </top>
      <bottom style="medium">
        <color theme="9"/>
      </bottom>
      <diagonal/>
    </border>
    <border>
      <left style="thin">
        <color theme="0" tint="-0.34998626667073579"/>
      </left>
      <right/>
      <top style="medium">
        <color theme="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style="thin">
        <color theme="0" tint="-0.34998626667073579"/>
      </top>
      <bottom style="medium">
        <color theme="9"/>
      </bottom>
      <diagonal/>
    </border>
    <border>
      <left style="medium">
        <color theme="9"/>
      </left>
      <right style="thin">
        <color theme="0" tint="-0.249977111117893"/>
      </right>
      <top style="medium">
        <color theme="9"/>
      </top>
      <bottom style="thin">
        <color theme="0" tint="-0.249977111117893"/>
      </bottom>
      <diagonal/>
    </border>
    <border>
      <left style="medium">
        <color theme="9"/>
      </left>
      <right style="thin">
        <color theme="0" tint="-0.249977111117893"/>
      </right>
      <top style="thin">
        <color theme="0" tint="-0.249977111117893"/>
      </top>
      <bottom style="thin">
        <color theme="0" tint="-0.249977111117893"/>
      </bottom>
      <diagonal/>
    </border>
    <border>
      <left style="medium">
        <color theme="9"/>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medium">
        <color theme="9"/>
      </left>
      <right style="thin">
        <color theme="0" tint="-0.249977111117893"/>
      </right>
      <top/>
      <bottom style="thin">
        <color theme="0" tint="-0.249977111117893"/>
      </bottom>
      <diagonal/>
    </border>
    <border>
      <left style="thin">
        <color theme="0" tint="-0.14999847407452621"/>
      </left>
      <right style="thin">
        <color theme="0" tint="-0.14999847407452621"/>
      </right>
      <top style="medium">
        <color theme="9"/>
      </top>
      <bottom style="medium">
        <color theme="9"/>
      </bottom>
      <diagonal/>
    </border>
    <border>
      <left style="medium">
        <color theme="9"/>
      </left>
      <right style="medium">
        <color theme="9"/>
      </right>
      <top style="thin">
        <color theme="9"/>
      </top>
      <bottom/>
      <diagonal/>
    </border>
    <border>
      <left style="medium">
        <color theme="9"/>
      </left>
      <right style="thin">
        <color theme="2" tint="-0.249977111117893"/>
      </right>
      <top style="thin">
        <color theme="2" tint="-0.249977111117893"/>
      </top>
      <bottom/>
      <diagonal/>
    </border>
    <border>
      <left style="medium">
        <color theme="9"/>
      </left>
      <right style="thin">
        <color theme="2" tint="-0.249977111117893"/>
      </right>
      <top/>
      <bottom style="thin">
        <color theme="2" tint="-0.249977111117893"/>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style="medium">
        <color theme="0" tint="-0.499984740745262"/>
      </top>
      <bottom style="thin">
        <color theme="2" tint="-0.249977111117893"/>
      </bottom>
      <diagonal/>
    </border>
    <border>
      <left style="thin">
        <color theme="9"/>
      </left>
      <right style="thin">
        <color theme="9"/>
      </right>
      <top style="medium">
        <color theme="0" tint="-0.499984740745262"/>
      </top>
      <bottom style="thin">
        <color theme="9"/>
      </bottom>
      <diagonal/>
    </border>
    <border>
      <left style="medium">
        <color theme="9"/>
      </left>
      <right style="thin">
        <color theme="2" tint="-0.249977111117893"/>
      </right>
      <top/>
      <bottom style="medium">
        <color theme="9"/>
      </bottom>
      <diagonal/>
    </border>
    <border>
      <left style="thin">
        <color theme="0" tint="-0.14999847407452621"/>
      </left>
      <right style="thin">
        <color theme="0" tint="-0.14999847407452621"/>
      </right>
      <top style="medium">
        <color theme="9"/>
      </top>
      <bottom style="thin">
        <color theme="0" tint="-0.14999847407452621"/>
      </bottom>
      <diagonal/>
    </border>
    <border>
      <left style="thin">
        <color theme="0" tint="-0.14999847407452621"/>
      </left>
      <right style="medium">
        <color theme="9"/>
      </right>
      <top style="medium">
        <color theme="9"/>
      </top>
      <bottom style="thin">
        <color theme="0" tint="-0.14999847407452621"/>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medium">
        <color theme="9"/>
      </top>
      <bottom style="medium">
        <color theme="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
      <left/>
      <right style="thin">
        <color theme="2" tint="-0.249977111117893"/>
      </right>
      <top style="medium">
        <color theme="9"/>
      </top>
      <bottom/>
      <diagonal/>
    </border>
    <border>
      <left/>
      <right style="thin">
        <color theme="2" tint="-0.249977111117893"/>
      </right>
      <top/>
      <bottom style="medium">
        <color theme="9"/>
      </bottom>
      <diagonal/>
    </border>
    <border>
      <left style="thin">
        <color theme="2" tint="-0.249977111117893"/>
      </left>
      <right/>
      <top/>
      <bottom style="medium">
        <color theme="9"/>
      </bottom>
      <diagonal/>
    </border>
    <border>
      <left style="thin">
        <color theme="0" tint="-0.249977111117893"/>
      </left>
      <right style="thin">
        <color theme="0" tint="-0.249977111117893"/>
      </right>
      <top style="medium">
        <color theme="9"/>
      </top>
      <bottom style="thin">
        <color theme="0" tint="-0.249977111117893"/>
      </bottom>
      <diagonal/>
    </border>
    <border>
      <left/>
      <right style="thin">
        <color theme="0" tint="-0.249977111117893"/>
      </right>
      <top style="medium">
        <color theme="9"/>
      </top>
      <bottom style="thin">
        <color theme="0" tint="-0.249977111117893"/>
      </bottom>
      <diagonal/>
    </border>
    <border>
      <left/>
      <right style="thin">
        <color theme="0" tint="-0.249977111117893"/>
      </right>
      <top style="thin">
        <color theme="0" tint="-0.249977111117893"/>
      </top>
      <bottom/>
      <diagonal/>
    </border>
    <border>
      <left style="medium">
        <color theme="9"/>
      </left>
      <right style="thin">
        <color theme="0" tint="-0.249977111117893"/>
      </right>
      <top style="medium">
        <color theme="9"/>
      </top>
      <bottom style="medium">
        <color theme="9"/>
      </bottom>
      <diagonal/>
    </border>
    <border>
      <left style="medium">
        <color theme="9"/>
      </left>
      <right/>
      <top style="medium">
        <color theme="9"/>
      </top>
      <bottom style="thin">
        <color theme="0" tint="-0.249977111117893"/>
      </bottom>
      <diagonal/>
    </border>
    <border>
      <left style="medium">
        <color theme="9"/>
      </left>
      <right/>
      <top style="thin">
        <color theme="0" tint="-0.249977111117893"/>
      </top>
      <bottom style="thin">
        <color theme="0" tint="-0.249977111117893"/>
      </bottom>
      <diagonal/>
    </border>
    <border>
      <left style="medium">
        <color theme="9"/>
      </left>
      <right/>
      <top style="medium">
        <color theme="9"/>
      </top>
      <bottom style="thin">
        <color theme="0" tint="-0.34998626667073579"/>
      </bottom>
      <diagonal/>
    </border>
    <border>
      <left style="medium">
        <color theme="9"/>
      </left>
      <right/>
      <top style="thin">
        <color theme="0" tint="-0.34998626667073579"/>
      </top>
      <bottom style="thin">
        <color theme="0" tint="-0.34998626667073579"/>
      </bottom>
      <diagonal/>
    </border>
    <border>
      <left style="thin">
        <color theme="0" tint="-0.249977111117893"/>
      </left>
      <right style="medium">
        <color theme="9"/>
      </right>
      <top style="medium">
        <color theme="9"/>
      </top>
      <bottom style="thin">
        <color theme="0" tint="-0.249977111117893"/>
      </bottom>
      <diagonal/>
    </border>
    <border>
      <left style="thin">
        <color theme="0" tint="-0.249977111117893"/>
      </left>
      <right style="medium">
        <color theme="9"/>
      </right>
      <top style="thin">
        <color theme="0" tint="-0.249977111117893"/>
      </top>
      <bottom style="medium">
        <color theme="9"/>
      </bottom>
      <diagonal/>
    </border>
    <border>
      <left style="medium">
        <color theme="9"/>
      </left>
      <right style="thin">
        <color theme="0" tint="-0.34998626667073579"/>
      </right>
      <top style="medium">
        <color theme="9"/>
      </top>
      <bottom style="thin">
        <color theme="0" tint="-0.34998626667073579"/>
      </bottom>
      <diagonal/>
    </border>
    <border>
      <left style="medium">
        <color theme="9"/>
      </left>
      <right style="thin">
        <color theme="0" tint="-0.34998626667073579"/>
      </right>
      <top style="thin">
        <color theme="0" tint="-0.34998626667073579"/>
      </top>
      <bottom style="thin">
        <color theme="0" tint="-0.34998626667073579"/>
      </bottom>
      <diagonal/>
    </border>
    <border>
      <left style="medium">
        <color theme="9"/>
      </left>
      <right style="thin">
        <color theme="0" tint="-0.34998626667073579"/>
      </right>
      <top style="thin">
        <color theme="0" tint="-0.34998626667073579"/>
      </top>
      <bottom style="medium">
        <color theme="9"/>
      </bottom>
      <diagonal/>
    </border>
    <border>
      <left style="medium">
        <color theme="9"/>
      </left>
      <right/>
      <top style="thin">
        <color theme="0" tint="-0.34998626667073579"/>
      </top>
      <bottom/>
      <diagonal/>
    </border>
    <border>
      <left/>
      <right style="thin">
        <color theme="0" tint="-0.249977111117893"/>
      </right>
      <top/>
      <bottom style="thin">
        <color theme="0" tint="-0.249977111117893"/>
      </bottom>
      <diagonal/>
    </border>
    <border>
      <left style="thin">
        <color theme="9"/>
      </left>
      <right/>
      <top style="medium">
        <color theme="9"/>
      </top>
      <bottom style="thin">
        <color theme="9"/>
      </bottom>
      <diagonal/>
    </border>
    <border>
      <left style="medium">
        <color theme="0" tint="-0.34998626667073579"/>
      </left>
      <right/>
      <top style="medium">
        <color theme="0" tint="-0.34998626667073579"/>
      </top>
      <bottom/>
      <diagonal/>
    </border>
    <border>
      <left style="thin">
        <color theme="0" tint="-0.34998626667073579"/>
      </left>
      <right style="thin">
        <color theme="0" tint="-0.34998626667073579"/>
      </right>
      <top style="medium">
        <color theme="0" tint="-0.34998626667073579"/>
      </top>
      <bottom style="thin">
        <color theme="0" tint="-0.34998626667073579"/>
      </bottom>
      <diagonal/>
    </border>
    <border>
      <left style="thin">
        <color theme="0" tint="-0.34998626667073579"/>
      </left>
      <right style="medium">
        <color theme="0" tint="-0.34998626667073579"/>
      </right>
      <top style="medium">
        <color theme="0" tint="-0.34998626667073579"/>
      </top>
      <bottom style="thin">
        <color theme="0" tint="-0.34998626667073579"/>
      </bottom>
      <diagonal/>
    </border>
    <border>
      <left style="medium">
        <color theme="0" tint="-0.34998626667073579"/>
      </left>
      <right/>
      <top style="thin">
        <color theme="2" tint="-0.249977111117893"/>
      </top>
      <bottom style="medium">
        <color theme="0" tint="-0.34998626667073579"/>
      </bottom>
      <diagonal/>
    </border>
    <border>
      <left style="thin">
        <color theme="0" tint="-0.34998626667073579"/>
      </left>
      <right style="thin">
        <color theme="0" tint="-0.34998626667073579"/>
      </right>
      <top style="thin">
        <color theme="0" tint="-0.34998626667073579"/>
      </top>
      <bottom style="medium">
        <color theme="0" tint="-0.34998626667073579"/>
      </bottom>
      <diagonal/>
    </border>
    <border>
      <left style="thin">
        <color theme="0" tint="-0.34998626667073579"/>
      </left>
      <right style="medium">
        <color theme="0" tint="-0.34998626667073579"/>
      </right>
      <top style="thin">
        <color theme="0" tint="-0.34998626667073579"/>
      </top>
      <bottom style="medium">
        <color theme="0" tint="-0.34998626667073579"/>
      </bottom>
      <diagonal/>
    </border>
    <border>
      <left style="medium">
        <color theme="0" tint="-0.34998626667073579"/>
      </left>
      <right style="thin">
        <color theme="2" tint="-0.249977111117893"/>
      </right>
      <top/>
      <bottom style="medium">
        <color theme="0" tint="-0.34998626667073579"/>
      </bottom>
      <diagonal/>
    </border>
    <border>
      <left style="medium">
        <color theme="0" tint="-0.34998626667073579"/>
      </left>
      <right style="medium">
        <color theme="9"/>
      </right>
      <top style="medium">
        <color theme="0" tint="-0.34998626667073579"/>
      </top>
      <bottom style="thin">
        <color theme="2" tint="-0.249977111117893"/>
      </bottom>
      <diagonal/>
    </border>
    <border>
      <left style="medium">
        <color theme="9"/>
      </left>
      <right style="medium">
        <color theme="9"/>
      </right>
      <top style="medium">
        <color theme="0" tint="-0.34998626667073579"/>
      </top>
      <bottom style="thin">
        <color theme="2" tint="-0.249977111117893"/>
      </bottom>
      <diagonal/>
    </border>
    <border>
      <left style="medium">
        <color theme="9"/>
      </left>
      <right/>
      <top style="medium">
        <color theme="0" tint="-0.34998626667073579"/>
      </top>
      <bottom style="thin">
        <color theme="0" tint="-0.249977111117893"/>
      </bottom>
      <diagonal/>
    </border>
    <border>
      <left style="medium">
        <color theme="0" tint="-0.34998626667073579"/>
      </left>
      <right style="medium">
        <color theme="9"/>
      </right>
      <top style="thin">
        <color theme="2" tint="-0.249977111117893"/>
      </top>
      <bottom style="medium">
        <color theme="0" tint="-0.34998626667073579"/>
      </bottom>
      <diagonal/>
    </border>
    <border>
      <left style="medium">
        <color theme="9"/>
      </left>
      <right style="medium">
        <color theme="9"/>
      </right>
      <top style="thin">
        <color theme="2" tint="-0.249977111117893"/>
      </top>
      <bottom style="medium">
        <color theme="0" tint="-0.34998626667073579"/>
      </bottom>
      <diagonal/>
    </border>
    <border>
      <left style="medium">
        <color theme="9"/>
      </left>
      <right/>
      <top style="thin">
        <color theme="0" tint="-0.249977111117893"/>
      </top>
      <bottom style="medium">
        <color theme="0" tint="-0.34998626667073579"/>
      </bottom>
      <diagonal/>
    </border>
    <border>
      <left style="medium">
        <color theme="9"/>
      </left>
      <right/>
      <top style="thin">
        <color theme="0" tint="-0.249977111117893"/>
      </top>
      <bottom/>
      <diagonal/>
    </border>
    <border>
      <left style="medium">
        <color theme="9"/>
      </left>
      <right style="thin">
        <color theme="0" tint="-0.34998626667073579"/>
      </right>
      <top style="thin">
        <color theme="0" tint="-0.34998626667073579"/>
      </top>
      <bottom/>
      <diagonal/>
    </border>
    <border>
      <left style="thin">
        <color theme="0" tint="-0.249977111117893"/>
      </left>
      <right style="medium">
        <color theme="9"/>
      </right>
      <top style="thin">
        <color theme="0" tint="-0.249977111117893"/>
      </top>
      <bottom/>
      <diagonal/>
    </border>
    <border>
      <left/>
      <right/>
      <top style="medium">
        <color theme="0" tint="-0.34998626667073579"/>
      </top>
      <bottom style="thin">
        <color theme="2" tint="-0.249977111117893"/>
      </bottom>
      <diagonal/>
    </border>
    <border>
      <left style="medium">
        <color theme="9"/>
      </left>
      <right style="medium">
        <color theme="9"/>
      </right>
      <top style="medium">
        <color theme="0" tint="-0.34998626667073579"/>
      </top>
      <bottom style="thin">
        <color theme="0" tint="-0.249977111117893"/>
      </bottom>
      <diagonal/>
    </border>
    <border>
      <left/>
      <right/>
      <top style="thin">
        <color theme="2" tint="-0.249977111117893"/>
      </top>
      <bottom style="medium">
        <color theme="0" tint="-0.34998626667073579"/>
      </bottom>
      <diagonal/>
    </border>
    <border>
      <left style="medium">
        <color theme="9"/>
      </left>
      <right style="medium">
        <color theme="9"/>
      </right>
      <top style="thin">
        <color theme="0" tint="-0.249977111117893"/>
      </top>
      <bottom style="medium">
        <color theme="0" tint="-0.34998626667073579"/>
      </bottom>
      <diagonal/>
    </border>
    <border>
      <left/>
      <right style="medium">
        <color theme="0" tint="-0.249977111117893"/>
      </right>
      <top style="medium">
        <color theme="0" tint="-0.249977111117893"/>
      </top>
      <bottom style="thin">
        <color theme="0" tint="-0.249977111117893"/>
      </bottom>
      <diagonal/>
    </border>
    <border>
      <left/>
      <right style="medium">
        <color theme="0" tint="-0.249977111117893"/>
      </right>
      <top style="thin">
        <color theme="0" tint="-0.249977111117893"/>
      </top>
      <bottom style="thin">
        <color theme="0" tint="-0.249977111117893"/>
      </bottom>
      <diagonal/>
    </border>
    <border>
      <left/>
      <right style="medium">
        <color theme="0" tint="-0.249977111117893"/>
      </right>
      <top style="thin">
        <color theme="0" tint="-0.249977111117893"/>
      </top>
      <bottom style="medium">
        <color theme="0" tint="-0.249977111117893"/>
      </bottom>
      <diagonal/>
    </border>
    <border>
      <left style="thin">
        <color theme="0" tint="-0.249977111117893"/>
      </left>
      <right style="medium">
        <color theme="9"/>
      </right>
      <top style="thin">
        <color theme="0" tint="-0.249977111117893"/>
      </top>
      <bottom style="thin">
        <color theme="0" tint="-0.249977111117893"/>
      </bottom>
      <diagonal/>
    </border>
    <border>
      <left style="thin">
        <color theme="0" tint="-0.249977111117893"/>
      </left>
      <right style="thin">
        <color theme="0" tint="-0.249977111117893"/>
      </right>
      <top style="medium">
        <color theme="9"/>
      </top>
      <bottom style="medium">
        <color theme="9"/>
      </bottom>
      <diagonal/>
    </border>
    <border>
      <left style="thin">
        <color theme="0" tint="-0.249977111117893"/>
      </left>
      <right style="medium">
        <color theme="9"/>
      </right>
      <top style="medium">
        <color theme="9"/>
      </top>
      <bottom style="medium">
        <color theme="9"/>
      </bottom>
      <diagonal/>
    </border>
    <border>
      <left style="thin">
        <color theme="0" tint="-0.249977111117893"/>
      </left>
      <right style="medium">
        <color theme="9"/>
      </right>
      <top/>
      <bottom style="thin">
        <color theme="0" tint="-0.249977111117893"/>
      </bottom>
      <diagonal/>
    </border>
    <border>
      <left style="medium">
        <color theme="9"/>
      </left>
      <right style="thin">
        <color theme="0" tint="-0.249977111117893"/>
      </right>
      <top style="thin">
        <color theme="0" tint="-0.249977111117893"/>
      </top>
      <bottom style="medium">
        <color theme="9"/>
      </bottom>
      <diagonal/>
    </border>
    <border>
      <left style="thin">
        <color theme="0" tint="-0.249977111117893"/>
      </left>
      <right/>
      <top/>
      <bottom style="thin">
        <color theme="0" tint="-0.249977111117893"/>
      </bottom>
      <diagonal/>
    </border>
    <border>
      <left style="thin">
        <color theme="0" tint="-0.249977111117893"/>
      </left>
      <right/>
      <top style="thin">
        <color theme="0" tint="-0.249977111117893"/>
      </top>
      <bottom/>
      <diagonal/>
    </border>
    <border>
      <left/>
      <right style="thin">
        <color theme="0" tint="-0.249977111117893"/>
      </right>
      <top/>
      <bottom style="medium">
        <color theme="9"/>
      </bottom>
      <diagonal/>
    </border>
    <border>
      <left style="thin">
        <color theme="0" tint="-0.249977111117893"/>
      </left>
      <right style="thin">
        <color theme="0" tint="-0.249977111117893"/>
      </right>
      <top/>
      <bottom style="medium">
        <color theme="9"/>
      </bottom>
      <diagonal/>
    </border>
    <border>
      <left style="thin">
        <color theme="0" tint="-0.249977111117893"/>
      </left>
      <right style="medium">
        <color theme="9"/>
      </right>
      <top/>
      <bottom style="medium">
        <color theme="9"/>
      </bottom>
      <diagonal/>
    </border>
    <border>
      <left style="thin">
        <color theme="0" tint="-0.249977111117893"/>
      </left>
      <right/>
      <top style="medium">
        <color theme="9"/>
      </top>
      <bottom style="thin">
        <color theme="0" tint="-0.249977111117893"/>
      </bottom>
      <diagonal/>
    </border>
    <border>
      <left style="thin">
        <color theme="0" tint="-0.249977111117893"/>
      </left>
      <right/>
      <top style="medium">
        <color theme="9"/>
      </top>
      <bottom style="medium">
        <color theme="9"/>
      </bottom>
      <diagonal/>
    </border>
    <border>
      <left/>
      <right style="thin">
        <color theme="0" tint="-0.34998626667073579"/>
      </right>
      <top style="thin">
        <color theme="0" tint="-0.34998626667073579"/>
      </top>
      <bottom style="thin">
        <color theme="0" tint="-0.34998626667073579"/>
      </bottom>
      <diagonal/>
    </border>
    <border>
      <left style="medium">
        <color theme="9"/>
      </left>
      <right style="medium">
        <color theme="9"/>
      </right>
      <top style="medium">
        <color theme="9"/>
      </top>
      <bottom style="thin">
        <color theme="0" tint="-0.34998626667073579"/>
      </bottom>
      <diagonal/>
    </border>
    <border>
      <left style="medium">
        <color theme="9"/>
      </left>
      <right style="medium">
        <color theme="9"/>
      </right>
      <top style="thin">
        <color theme="0" tint="-0.34998626667073579"/>
      </top>
      <bottom style="thin">
        <color theme="0" tint="-0.34998626667073579"/>
      </bottom>
      <diagonal/>
    </border>
    <border>
      <left style="medium">
        <color theme="9"/>
      </left>
      <right style="medium">
        <color theme="9"/>
      </right>
      <top style="thin">
        <color theme="0" tint="-0.34998626667073579"/>
      </top>
      <bottom style="medium">
        <color theme="9"/>
      </bottom>
      <diagonal/>
    </border>
    <border>
      <left/>
      <right style="thin">
        <color theme="0" tint="-0.34998626667073579"/>
      </right>
      <top style="thin">
        <color theme="0" tint="-0.34998626667073579"/>
      </top>
      <bottom/>
      <diagonal/>
    </border>
    <border>
      <left/>
      <right style="thin">
        <color theme="0" tint="-0.34998626667073579"/>
      </right>
      <top/>
      <bottom style="thin">
        <color theme="0" tint="-0.34998626667073579"/>
      </bottom>
      <diagonal/>
    </border>
    <border>
      <left style="thin">
        <color theme="0" tint="-0.14999847407452621"/>
      </left>
      <right style="medium">
        <color theme="9"/>
      </right>
      <top style="medium">
        <color theme="9"/>
      </top>
      <bottom style="medium">
        <color theme="9"/>
      </bottom>
      <diagonal/>
    </border>
    <border>
      <left style="thin">
        <color theme="0" tint="-0.34998626667073579"/>
      </left>
      <right style="medium">
        <color theme="9"/>
      </right>
      <top style="medium">
        <color theme="9"/>
      </top>
      <bottom style="thin">
        <color theme="0" tint="-0.34998626667073579"/>
      </bottom>
      <diagonal/>
    </border>
    <border>
      <left style="thin">
        <color theme="0" tint="-0.34998626667073579"/>
      </left>
      <right style="medium">
        <color theme="9"/>
      </right>
      <top style="thin">
        <color theme="0" tint="-0.34998626667073579"/>
      </top>
      <bottom style="thin">
        <color theme="0" tint="-0.34998626667073579"/>
      </bottom>
      <diagonal/>
    </border>
    <border>
      <left style="thin">
        <color theme="0" tint="-0.34998626667073579"/>
      </left>
      <right style="medium">
        <color theme="9"/>
      </right>
      <top style="thin">
        <color theme="0" tint="-0.34998626667073579"/>
      </top>
      <bottom style="medium">
        <color theme="9"/>
      </bottom>
      <diagonal/>
    </border>
    <border>
      <left/>
      <right style="thin">
        <color theme="0" tint="-0.14999847407452621"/>
      </right>
      <top style="medium">
        <color theme="9"/>
      </top>
      <bottom style="medium">
        <color theme="9"/>
      </bottom>
      <diagonal/>
    </border>
    <border>
      <left style="thin">
        <color theme="9"/>
      </left>
      <right/>
      <top style="thin">
        <color theme="9"/>
      </top>
      <bottom style="thin">
        <color theme="9"/>
      </bottom>
      <diagonal/>
    </border>
    <border>
      <left style="medium">
        <color theme="0" tint="-0.34998626667073579"/>
      </left>
      <right style="thin">
        <color theme="0" tint="-0.249977111117893"/>
      </right>
      <top/>
      <bottom style="thin">
        <color theme="0" tint="-0.249977111117893"/>
      </bottom>
      <diagonal/>
    </border>
    <border>
      <left/>
      <right/>
      <top/>
      <bottom style="thin">
        <color theme="9"/>
      </bottom>
      <diagonal/>
    </border>
    <border>
      <left style="thin">
        <color theme="0" tint="-0.499984740745262"/>
      </left>
      <right/>
      <top style="thin">
        <color theme="0" tint="-0.499984740745262"/>
      </top>
      <bottom style="thin">
        <color theme="0" tint="-0.499984740745262"/>
      </bottom>
      <diagonal/>
    </border>
    <border>
      <left style="thin">
        <color theme="9"/>
      </left>
      <right style="medium">
        <color theme="9"/>
      </right>
      <top/>
      <bottom style="thin">
        <color theme="9"/>
      </bottom>
      <diagonal/>
    </border>
    <border>
      <left style="thin">
        <color theme="9"/>
      </left>
      <right style="medium">
        <color theme="9"/>
      </right>
      <top style="thin">
        <color theme="9"/>
      </top>
      <bottom style="thin">
        <color theme="9"/>
      </bottom>
      <diagonal/>
    </border>
    <border>
      <left style="thin">
        <color theme="9"/>
      </left>
      <right style="medium">
        <color theme="9"/>
      </right>
      <top style="thin">
        <color theme="9"/>
      </top>
      <bottom style="medium">
        <color theme="9"/>
      </bottom>
      <diagonal/>
    </border>
    <border>
      <left style="thin">
        <color theme="9"/>
      </left>
      <right style="medium">
        <color theme="9"/>
      </right>
      <top style="medium">
        <color theme="9"/>
      </top>
      <bottom style="thin">
        <color theme="9"/>
      </bottom>
      <diagonal/>
    </border>
    <border>
      <left style="medium">
        <color theme="9"/>
      </left>
      <right style="thin">
        <color theme="9"/>
      </right>
      <top/>
      <bottom/>
      <diagonal/>
    </border>
    <border>
      <left style="thin">
        <color theme="9"/>
      </left>
      <right style="medium">
        <color theme="9"/>
      </right>
      <top/>
      <bottom/>
      <diagonal/>
    </border>
    <border>
      <left style="medium">
        <color theme="9"/>
      </left>
      <right style="medium">
        <color theme="9"/>
      </right>
      <top style="medium">
        <color theme="0" tint="-0.499984740745262"/>
      </top>
      <bottom style="thin">
        <color theme="9"/>
      </bottom>
      <diagonal/>
    </border>
    <border>
      <left style="thin">
        <color theme="9"/>
      </left>
      <right style="medium">
        <color theme="9"/>
      </right>
      <top style="medium">
        <color theme="0" tint="-0.499984740745262"/>
      </top>
      <bottom style="thin">
        <color theme="9"/>
      </bottom>
      <diagonal/>
    </border>
    <border>
      <left style="thin">
        <color theme="9"/>
      </left>
      <right style="medium">
        <color theme="9"/>
      </right>
      <top style="thin">
        <color theme="9"/>
      </top>
      <bottom/>
      <diagonal/>
    </border>
    <border>
      <left style="medium">
        <color theme="9"/>
      </left>
      <right style="thin">
        <color theme="0" tint="-0.499984740745262"/>
      </right>
      <top style="thin">
        <color theme="0" tint="-0.499984740745262"/>
      </top>
      <bottom style="thin">
        <color theme="0" tint="-0.499984740745262"/>
      </bottom>
      <diagonal/>
    </border>
    <border>
      <left style="thin">
        <color theme="0" tint="-0.499984740745262"/>
      </left>
      <right style="medium">
        <color theme="9"/>
      </right>
      <top style="thin">
        <color theme="0" tint="-0.499984740745262"/>
      </top>
      <bottom style="thin">
        <color theme="0" tint="-0.499984740745262"/>
      </bottom>
      <diagonal/>
    </border>
    <border>
      <left style="medium">
        <color theme="9"/>
      </left>
      <right style="thin">
        <color theme="9"/>
      </right>
      <top/>
      <bottom style="thin">
        <color theme="9"/>
      </bottom>
      <diagonal/>
    </border>
    <border>
      <left style="medium">
        <color theme="9"/>
      </left>
      <right style="thin">
        <color theme="9"/>
      </right>
      <top style="thin">
        <color theme="9"/>
      </top>
      <bottom/>
      <diagonal/>
    </border>
    <border>
      <left style="medium">
        <color theme="9"/>
      </left>
      <right/>
      <top/>
      <bottom style="thin">
        <color theme="9"/>
      </bottom>
      <diagonal/>
    </border>
    <border>
      <left/>
      <right style="medium">
        <color theme="9"/>
      </right>
      <top/>
      <bottom style="thin">
        <color theme="9"/>
      </bottom>
      <diagonal/>
    </border>
    <border>
      <left style="medium">
        <color theme="9"/>
      </left>
      <right/>
      <top style="thin">
        <color theme="9"/>
      </top>
      <bottom style="thin">
        <color theme="9"/>
      </bottom>
      <diagonal/>
    </border>
    <border>
      <left/>
      <right style="medium">
        <color theme="9"/>
      </right>
      <top style="thin">
        <color theme="9"/>
      </top>
      <bottom style="thin">
        <color theme="9"/>
      </bottom>
      <diagonal/>
    </border>
    <border>
      <left style="medium">
        <color theme="9"/>
      </left>
      <right/>
      <top style="thin">
        <color theme="9"/>
      </top>
      <bottom/>
      <diagonal/>
    </border>
    <border>
      <left style="medium">
        <color theme="9"/>
      </left>
      <right style="thin">
        <color theme="2" tint="-0.249977111117893"/>
      </right>
      <top/>
      <bottom/>
      <diagonal/>
    </border>
    <border>
      <left style="thin">
        <color theme="0" tint="-0.499984740745262"/>
      </left>
      <right style="thin">
        <color theme="0" tint="-0.499984740745262"/>
      </right>
      <top style="thin">
        <color theme="0" tint="-0.499984740745262"/>
      </top>
      <bottom style="medium">
        <color theme="9"/>
      </bottom>
      <diagonal/>
    </border>
    <border>
      <left style="thin">
        <color theme="0" tint="-0.499984740745262"/>
      </left>
      <right style="medium">
        <color theme="9"/>
      </right>
      <top style="thin">
        <color theme="0" tint="-0.499984740745262"/>
      </top>
      <bottom style="medium">
        <color theme="9"/>
      </bottom>
      <diagonal/>
    </border>
    <border>
      <left style="medium">
        <color theme="9"/>
      </left>
      <right style="thin">
        <color theme="0" tint="-0.34998626667073579"/>
      </right>
      <top/>
      <bottom/>
      <diagonal/>
    </border>
    <border>
      <left style="thin">
        <color theme="2" tint="-0.249977111117893"/>
      </left>
      <right style="thin">
        <color theme="0" tint="-0.34998626667073579"/>
      </right>
      <top style="thin">
        <color theme="2" tint="-0.249977111117893"/>
      </top>
      <bottom style="medium">
        <color theme="9"/>
      </bottom>
      <diagonal/>
    </border>
  </borders>
  <cellStyleXfs count="4">
    <xf numFmtId="0" fontId="0" fillId="0" borderId="0"/>
    <xf numFmtId="0" fontId="1" fillId="0" borderId="0" applyNumberFormat="0" applyFont="0" applyFill="0" applyBorder="0" applyAlignment="0" applyProtection="0"/>
    <xf numFmtId="0" fontId="2" fillId="11" borderId="0" applyNumberFormat="0" applyBorder="0" applyAlignment="0" applyProtection="0"/>
    <xf numFmtId="0" fontId="6" fillId="0" borderId="0" applyNumberFormat="0" applyFill="0" applyBorder="0" applyAlignment="0" applyProtection="0"/>
  </cellStyleXfs>
  <cellXfs count="1415">
    <xf numFmtId="0" fontId="0" fillId="0" borderId="0" xfId="0"/>
    <xf numFmtId="0" fontId="7" fillId="0" borderId="27" xfId="0" applyFont="1" applyBorder="1" applyAlignment="1">
      <alignment horizontal="left" vertical="center" wrapText="1"/>
    </xf>
    <xf numFmtId="0" fontId="7" fillId="0" borderId="28" xfId="0" applyFont="1" applyBorder="1" applyAlignment="1">
      <alignment horizontal="left" vertical="center" wrapText="1"/>
    </xf>
    <xf numFmtId="0" fontId="7" fillId="0" borderId="29" xfId="0" applyFont="1" applyBorder="1" applyAlignment="1">
      <alignment horizontal="left" vertical="center" wrapText="1"/>
    </xf>
    <xf numFmtId="0" fontId="8" fillId="0" borderId="10" xfId="0" applyFont="1" applyBorder="1" applyAlignment="1">
      <alignment horizontal="center" vertical="center"/>
    </xf>
    <xf numFmtId="0" fontId="8" fillId="6" borderId="47" xfId="0" applyFont="1" applyFill="1" applyBorder="1" applyAlignment="1">
      <alignment vertical="center"/>
    </xf>
    <xf numFmtId="0" fontId="12" fillId="0" borderId="0" xfId="0" applyFont="1" applyAlignment="1">
      <alignment horizontal="left" vertical="center"/>
    </xf>
    <xf numFmtId="0" fontId="8" fillId="0" borderId="0" xfId="0" applyFont="1"/>
    <xf numFmtId="0" fontId="12" fillId="0" borderId="0" xfId="0" applyFont="1"/>
    <xf numFmtId="0" fontId="7" fillId="0" borderId="0" xfId="0" applyFont="1" applyAlignment="1"/>
    <xf numFmtId="0" fontId="8" fillId="0" borderId="0" xfId="0" applyFont="1" applyAlignment="1">
      <alignment vertical="center"/>
    </xf>
    <xf numFmtId="0" fontId="12" fillId="7" borderId="40" xfId="0" applyFont="1" applyFill="1" applyBorder="1" applyAlignment="1">
      <alignment horizontal="center" vertical="center" wrapText="1"/>
    </xf>
    <xf numFmtId="0" fontId="8" fillId="8" borderId="20" xfId="0" applyFont="1" applyFill="1" applyBorder="1" applyAlignment="1">
      <alignment vertical="center"/>
    </xf>
    <xf numFmtId="0" fontId="10" fillId="0" borderId="48" xfId="0" applyFont="1" applyFill="1" applyBorder="1" applyAlignment="1">
      <alignment horizontal="center"/>
    </xf>
    <xf numFmtId="0" fontId="5" fillId="5" borderId="0" xfId="0" applyFont="1" applyFill="1"/>
    <xf numFmtId="49" fontId="14" fillId="4" borderId="14" xfId="1" applyNumberFormat="1" applyFont="1" applyFill="1" applyBorder="1" applyAlignment="1">
      <alignment horizontal="center" vertical="center"/>
    </xf>
    <xf numFmtId="0" fontId="12" fillId="0" borderId="25" xfId="0" applyFont="1" applyFill="1" applyBorder="1" applyAlignment="1">
      <alignment horizontal="center" vertical="center" wrapText="1"/>
    </xf>
    <xf numFmtId="0" fontId="8" fillId="0" borderId="45" xfId="0" applyFont="1" applyFill="1" applyBorder="1" applyAlignment="1">
      <alignment vertical="center"/>
    </xf>
    <xf numFmtId="0" fontId="5" fillId="0" borderId="0" xfId="0" applyFont="1"/>
    <xf numFmtId="0" fontId="7" fillId="4" borderId="134" xfId="0" applyFont="1" applyFill="1" applyBorder="1" applyAlignment="1" applyProtection="1">
      <alignment horizontal="center" vertical="center"/>
    </xf>
    <xf numFmtId="0" fontId="7" fillId="4" borderId="155" xfId="0" applyFont="1" applyFill="1" applyBorder="1" applyAlignment="1" applyProtection="1">
      <alignment horizontal="center" vertical="center"/>
    </xf>
    <xf numFmtId="0" fontId="7" fillId="5" borderId="147" xfId="0" applyFont="1" applyFill="1" applyBorder="1" applyAlignment="1" applyProtection="1">
      <alignment horizontal="center" vertical="center"/>
      <protection locked="0"/>
    </xf>
    <xf numFmtId="0" fontId="7" fillId="5" borderId="148" xfId="0" applyFont="1" applyFill="1" applyBorder="1" applyAlignment="1" applyProtection="1">
      <alignment horizontal="center" vertical="center"/>
      <protection locked="0"/>
    </xf>
    <xf numFmtId="0" fontId="7" fillId="5" borderId="149" xfId="0" applyFont="1" applyFill="1" applyBorder="1" applyAlignment="1" applyProtection="1">
      <alignment horizontal="center" vertical="center"/>
      <protection locked="0"/>
    </xf>
    <xf numFmtId="0" fontId="7" fillId="4" borderId="147" xfId="0" applyFont="1" applyFill="1" applyBorder="1" applyAlignment="1" applyProtection="1">
      <alignment horizontal="center" vertical="center"/>
    </xf>
    <xf numFmtId="0" fontId="7" fillId="4" borderId="148" xfId="0" applyFont="1" applyFill="1" applyBorder="1" applyAlignment="1" applyProtection="1">
      <alignment horizontal="center" vertical="center"/>
    </xf>
    <xf numFmtId="0" fontId="7" fillId="4" borderId="149" xfId="0" applyFont="1" applyFill="1" applyBorder="1" applyAlignment="1" applyProtection="1">
      <alignment horizontal="center" vertical="center"/>
    </xf>
    <xf numFmtId="0" fontId="7" fillId="5" borderId="145" xfId="0" applyFont="1" applyFill="1" applyBorder="1" applyAlignment="1" applyProtection="1">
      <alignment horizontal="center" vertical="center"/>
      <protection locked="0"/>
    </xf>
    <xf numFmtId="0" fontId="7" fillId="5" borderId="123" xfId="0" applyFont="1" applyFill="1" applyBorder="1" applyAlignment="1" applyProtection="1">
      <alignment horizontal="center" vertical="center"/>
      <protection locked="0"/>
    </xf>
    <xf numFmtId="0" fontId="8" fillId="6" borderId="13" xfId="0" applyFont="1" applyFill="1" applyBorder="1" applyAlignment="1">
      <alignment horizontal="center" vertical="center"/>
    </xf>
    <xf numFmtId="0" fontId="8" fillId="2" borderId="22" xfId="0" applyFont="1" applyFill="1" applyBorder="1" applyAlignment="1">
      <alignment vertical="top"/>
    </xf>
    <xf numFmtId="0" fontId="7" fillId="10" borderId="22" xfId="0" applyFont="1" applyFill="1" applyBorder="1" applyAlignment="1">
      <alignment horizontal="left" vertical="top" wrapText="1"/>
    </xf>
    <xf numFmtId="0" fontId="7" fillId="0" borderId="50" xfId="0" applyFont="1" applyBorder="1" applyAlignment="1">
      <alignment horizontal="left" vertical="center" wrapText="1"/>
    </xf>
    <xf numFmtId="0" fontId="7" fillId="5" borderId="156" xfId="0" applyFont="1" applyFill="1" applyBorder="1" applyAlignment="1" applyProtection="1">
      <alignment horizontal="center" vertical="center"/>
      <protection locked="0"/>
    </xf>
    <xf numFmtId="0" fontId="7" fillId="5" borderId="157" xfId="0" applyFont="1" applyFill="1" applyBorder="1" applyAlignment="1" applyProtection="1">
      <alignment horizontal="center" vertical="center"/>
      <protection locked="0"/>
    </xf>
    <xf numFmtId="0" fontId="7" fillId="4" borderId="150" xfId="0" applyFont="1" applyFill="1" applyBorder="1" applyAlignment="1" applyProtection="1">
      <alignment horizontal="center" vertical="center"/>
    </xf>
    <xf numFmtId="0" fontId="7" fillId="4" borderId="151" xfId="0" applyFont="1" applyFill="1" applyBorder="1" applyAlignment="1" applyProtection="1">
      <alignment horizontal="center" vertical="center"/>
    </xf>
    <xf numFmtId="0" fontId="7" fillId="5" borderId="158" xfId="0" applyFont="1" applyFill="1" applyBorder="1" applyAlignment="1" applyProtection="1">
      <alignment horizontal="center" vertical="center"/>
      <protection locked="0"/>
    </xf>
    <xf numFmtId="0" fontId="7" fillId="5" borderId="159" xfId="0" applyFont="1" applyFill="1" applyBorder="1" applyAlignment="1" applyProtection="1">
      <alignment horizontal="center" vertical="center"/>
      <protection locked="0"/>
    </xf>
    <xf numFmtId="0" fontId="7" fillId="5" borderId="160" xfId="0" applyFont="1" applyFill="1" applyBorder="1" applyAlignment="1" applyProtection="1">
      <alignment horizontal="center" vertical="center"/>
      <protection locked="0"/>
    </xf>
    <xf numFmtId="0" fontId="7" fillId="4" borderId="152" xfId="0" applyFont="1" applyFill="1" applyBorder="1" applyAlignment="1" applyProtection="1">
      <alignment horizontal="center" vertical="center"/>
    </xf>
    <xf numFmtId="0" fontId="7" fillId="4" borderId="153" xfId="0" applyFont="1" applyFill="1" applyBorder="1" applyAlignment="1" applyProtection="1">
      <alignment horizontal="center" vertical="center"/>
    </xf>
    <xf numFmtId="0" fontId="7" fillId="4" borderId="154" xfId="0" applyFont="1" applyFill="1" applyBorder="1" applyAlignment="1" applyProtection="1">
      <alignment horizontal="center" vertical="center"/>
    </xf>
    <xf numFmtId="0" fontId="7" fillId="5" borderId="146" xfId="0" applyFont="1" applyFill="1" applyBorder="1" applyAlignment="1" applyProtection="1">
      <alignment horizontal="center" vertical="center"/>
      <protection locked="0"/>
    </xf>
    <xf numFmtId="0" fontId="7" fillId="5" borderId="131" xfId="0" applyFont="1" applyFill="1" applyBorder="1" applyAlignment="1" applyProtection="1">
      <alignment horizontal="center" vertical="center"/>
      <protection locked="0"/>
    </xf>
    <xf numFmtId="0" fontId="8" fillId="2" borderId="22" xfId="0" applyFont="1" applyFill="1" applyBorder="1" applyAlignment="1">
      <alignment horizontal="left" vertical="top"/>
    </xf>
    <xf numFmtId="0" fontId="7" fillId="4" borderId="133" xfId="0" applyFont="1" applyFill="1" applyBorder="1" applyAlignment="1" applyProtection="1">
      <alignment horizontal="center" vertical="center"/>
    </xf>
    <xf numFmtId="0" fontId="7" fillId="4" borderId="135" xfId="0" applyFont="1" applyFill="1" applyBorder="1" applyAlignment="1" applyProtection="1">
      <alignment horizontal="center" vertical="center"/>
    </xf>
    <xf numFmtId="0" fontId="8" fillId="0" borderId="124" xfId="0" applyFont="1" applyBorder="1" applyAlignment="1" applyProtection="1">
      <alignment horizontal="center" vertical="center"/>
      <protection locked="0"/>
    </xf>
    <xf numFmtId="0" fontId="7" fillId="4" borderId="128" xfId="0" applyFont="1" applyFill="1" applyBorder="1" applyAlignment="1" applyProtection="1">
      <alignment horizontal="center" vertical="center"/>
    </xf>
    <xf numFmtId="0" fontId="7" fillId="4" borderId="123" xfId="0" applyFont="1" applyFill="1" applyBorder="1" applyAlignment="1" applyProtection="1">
      <alignment horizontal="center" vertical="center"/>
    </xf>
    <xf numFmtId="0" fontId="7" fillId="4" borderId="129" xfId="0" applyFont="1" applyFill="1" applyBorder="1" applyAlignment="1" applyProtection="1">
      <alignment horizontal="center" vertical="center"/>
    </xf>
    <xf numFmtId="0" fontId="8" fillId="6" borderId="77" xfId="0" applyFont="1" applyFill="1" applyBorder="1" applyAlignment="1">
      <alignment horizontal="center" vertical="center"/>
    </xf>
    <xf numFmtId="0" fontId="7" fillId="4" borderId="130" xfId="0" applyFont="1" applyFill="1" applyBorder="1" applyAlignment="1" applyProtection="1">
      <alignment horizontal="center" vertical="center"/>
    </xf>
    <xf numFmtId="0" fontId="7" fillId="4" borderId="131" xfId="0" applyFont="1" applyFill="1" applyBorder="1" applyAlignment="1" applyProtection="1">
      <alignment horizontal="center" vertical="center"/>
    </xf>
    <xf numFmtId="0" fontId="7" fillId="4" borderId="132" xfId="0" applyFont="1" applyFill="1" applyBorder="1" applyAlignment="1" applyProtection="1">
      <alignment horizontal="center" vertical="center"/>
    </xf>
    <xf numFmtId="0" fontId="8" fillId="6" borderId="124" xfId="0" applyFont="1" applyFill="1" applyBorder="1" applyAlignment="1">
      <alignment horizontal="center" vertical="center"/>
    </xf>
    <xf numFmtId="0" fontId="8" fillId="6" borderId="51" xfId="0" applyFont="1" applyFill="1" applyBorder="1" applyAlignment="1">
      <alignment horizontal="left" vertical="center" wrapText="1"/>
    </xf>
    <xf numFmtId="49" fontId="8" fillId="6" borderId="33" xfId="0" applyNumberFormat="1" applyFont="1" applyFill="1" applyBorder="1" applyAlignment="1" applyProtection="1">
      <alignment horizontal="center" vertical="center"/>
    </xf>
    <xf numFmtId="0" fontId="8" fillId="6" borderId="74" xfId="0" applyFont="1" applyFill="1" applyBorder="1" applyAlignment="1">
      <alignment horizontal="center" vertical="center"/>
    </xf>
    <xf numFmtId="0" fontId="7" fillId="10" borderId="22" xfId="0" applyFont="1" applyFill="1" applyBorder="1" applyAlignment="1">
      <alignment horizontal="left" vertical="top"/>
    </xf>
    <xf numFmtId="0" fontId="5" fillId="0" borderId="0" xfId="0" applyFont="1" applyAlignment="1"/>
    <xf numFmtId="0" fontId="7" fillId="4" borderId="125" xfId="0" applyFont="1" applyFill="1" applyBorder="1" applyAlignment="1" applyProtection="1">
      <alignment horizontal="center" vertical="center"/>
    </xf>
    <xf numFmtId="0" fontId="7" fillId="4" borderId="126" xfId="0" applyFont="1" applyFill="1" applyBorder="1" applyAlignment="1" applyProtection="1">
      <alignment horizontal="center" vertical="center"/>
    </xf>
    <xf numFmtId="0" fontId="7" fillId="4" borderId="127" xfId="0" applyFont="1" applyFill="1" applyBorder="1" applyAlignment="1" applyProtection="1">
      <alignment horizontal="center" vertical="center"/>
    </xf>
    <xf numFmtId="0" fontId="8" fillId="6" borderId="12" xfId="0" applyFont="1" applyFill="1" applyBorder="1" applyAlignment="1">
      <alignment horizontal="center" vertical="center"/>
    </xf>
    <xf numFmtId="0" fontId="8" fillId="6" borderId="34" xfId="0" applyFont="1" applyFill="1" applyBorder="1" applyAlignment="1">
      <alignment horizontal="center" vertical="center"/>
    </xf>
    <xf numFmtId="0" fontId="8" fillId="6" borderId="86" xfId="0" applyFont="1" applyFill="1" applyBorder="1" applyAlignment="1">
      <alignment horizontal="center" vertical="center"/>
    </xf>
    <xf numFmtId="49" fontId="18" fillId="4" borderId="14" xfId="1" applyNumberFormat="1" applyFont="1" applyFill="1" applyBorder="1" applyAlignment="1">
      <alignment horizontal="center" vertical="center"/>
    </xf>
    <xf numFmtId="0" fontId="7" fillId="0" borderId="43" xfId="0" applyFont="1" applyBorder="1" applyAlignment="1">
      <alignment horizontal="left" vertical="center" wrapText="1"/>
    </xf>
    <xf numFmtId="0" fontId="7" fillId="4" borderId="37" xfId="0" applyFont="1" applyFill="1" applyBorder="1" applyAlignment="1" applyProtection="1">
      <alignment horizontal="center" vertical="center"/>
    </xf>
    <xf numFmtId="0" fontId="7" fillId="4" borderId="9" xfId="0" applyFont="1" applyFill="1" applyBorder="1" applyAlignment="1" applyProtection="1">
      <alignment horizontal="center" vertical="center"/>
    </xf>
    <xf numFmtId="0" fontId="7" fillId="0" borderId="9" xfId="0" applyFont="1" applyBorder="1" applyAlignment="1" applyProtection="1">
      <alignment horizontal="center" vertical="center"/>
      <protection locked="0"/>
    </xf>
    <xf numFmtId="0" fontId="7" fillId="10" borderId="43" xfId="0" applyFont="1" applyFill="1" applyBorder="1" applyAlignment="1">
      <alignment horizontal="left" vertical="top" wrapText="1"/>
    </xf>
    <xf numFmtId="0" fontId="10" fillId="5" borderId="0" xfId="0" applyFont="1" applyFill="1" applyBorder="1"/>
    <xf numFmtId="0" fontId="7" fillId="0" borderId="0" xfId="0" applyFont="1" applyAlignment="1">
      <alignment horizontal="left"/>
    </xf>
    <xf numFmtId="0" fontId="7" fillId="0" borderId="22" xfId="0" applyFont="1" applyBorder="1" applyAlignment="1">
      <alignment horizontal="left" vertical="center" wrapText="1"/>
    </xf>
    <xf numFmtId="0" fontId="7" fillId="4" borderId="7" xfId="0" applyFont="1" applyFill="1" applyBorder="1" applyAlignment="1" applyProtection="1">
      <alignment horizontal="center" vertical="center"/>
    </xf>
    <xf numFmtId="0" fontId="7" fillId="4" borderId="6" xfId="0" applyFont="1" applyFill="1" applyBorder="1" applyAlignment="1" applyProtection="1">
      <alignment horizontal="center" vertical="center"/>
    </xf>
    <xf numFmtId="0" fontId="7" fillId="0" borderId="6" xfId="0" applyFont="1" applyBorder="1" applyAlignment="1" applyProtection="1">
      <alignment horizontal="center" vertical="center"/>
      <protection locked="0"/>
    </xf>
    <xf numFmtId="0" fontId="10" fillId="5" borderId="0" xfId="0" applyFont="1" applyFill="1" applyBorder="1" applyAlignment="1"/>
    <xf numFmtId="0" fontId="10" fillId="5" borderId="0" xfId="0" applyFont="1" applyFill="1" applyBorder="1" applyAlignment="1">
      <alignment vertical="center"/>
    </xf>
    <xf numFmtId="0" fontId="7" fillId="0" borderId="0" xfId="0" applyFont="1" applyAlignment="1">
      <alignment horizontal="left" vertical="center"/>
    </xf>
    <xf numFmtId="0" fontId="5" fillId="0" borderId="0" xfId="0" applyFont="1" applyAlignment="1">
      <alignment vertical="center"/>
    </xf>
    <xf numFmtId="0" fontId="8" fillId="0" borderId="22" xfId="0" applyFont="1" applyFill="1" applyBorder="1" applyAlignment="1">
      <alignment horizontal="left" vertical="center" wrapText="1"/>
    </xf>
    <xf numFmtId="0" fontId="19" fillId="0" borderId="6" xfId="0" applyFont="1" applyBorder="1" applyAlignment="1" applyProtection="1">
      <alignment horizontal="center" vertical="center"/>
      <protection locked="0"/>
    </xf>
    <xf numFmtId="0" fontId="10" fillId="4" borderId="6" xfId="0" applyFont="1" applyFill="1" applyBorder="1" applyAlignment="1" applyProtection="1">
      <alignment horizontal="center" vertical="center"/>
    </xf>
    <xf numFmtId="0" fontId="7" fillId="0" borderId="52" xfId="0" applyFont="1" applyBorder="1" applyAlignment="1">
      <alignment horizontal="left" vertical="center" wrapText="1"/>
    </xf>
    <xf numFmtId="0" fontId="10" fillId="4" borderId="14" xfId="0" applyFont="1" applyFill="1" applyBorder="1" applyAlignment="1" applyProtection="1">
      <alignment horizontal="center" vertical="center"/>
    </xf>
    <xf numFmtId="0" fontId="7" fillId="0" borderId="14" xfId="0" applyFont="1" applyBorder="1" applyAlignment="1" applyProtection="1">
      <alignment horizontal="center" vertical="center"/>
      <protection locked="0"/>
    </xf>
    <xf numFmtId="0" fontId="8" fillId="6" borderId="15" xfId="0" applyFont="1" applyFill="1" applyBorder="1" applyAlignment="1">
      <alignment horizontal="center" vertical="center"/>
    </xf>
    <xf numFmtId="0" fontId="7" fillId="0" borderId="53" xfId="0" applyFont="1" applyBorder="1" applyAlignment="1">
      <alignment horizontal="left" vertical="center" wrapText="1"/>
    </xf>
    <xf numFmtId="0" fontId="10" fillId="4" borderId="30" xfId="0" applyFont="1" applyFill="1" applyBorder="1" applyAlignment="1" applyProtection="1">
      <alignment horizontal="center" vertical="center"/>
    </xf>
    <xf numFmtId="0" fontId="10" fillId="4" borderId="11" xfId="0"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0" fontId="8" fillId="0" borderId="52" xfId="0" applyFont="1" applyBorder="1" applyAlignment="1">
      <alignment horizontal="left" vertical="center" wrapText="1"/>
    </xf>
    <xf numFmtId="0" fontId="13" fillId="4" borderId="14" xfId="0" applyFont="1" applyFill="1" applyBorder="1" applyAlignment="1" applyProtection="1">
      <alignment horizontal="center" vertical="center"/>
    </xf>
    <xf numFmtId="0" fontId="11" fillId="0" borderId="14" xfId="0" applyFont="1" applyBorder="1" applyAlignment="1" applyProtection="1">
      <alignment horizontal="center" vertical="center"/>
      <protection locked="0"/>
    </xf>
    <xf numFmtId="0" fontId="7" fillId="4" borderId="30" xfId="0" applyFont="1" applyFill="1" applyBorder="1" applyAlignment="1" applyProtection="1">
      <alignment horizontal="center" vertical="center"/>
    </xf>
    <xf numFmtId="0" fontId="7" fillId="4" borderId="11" xfId="0" applyFont="1" applyFill="1" applyBorder="1" applyAlignment="1" applyProtection="1">
      <alignment horizontal="center" vertical="center"/>
    </xf>
    <xf numFmtId="0" fontId="8" fillId="4" borderId="31" xfId="0" applyFont="1" applyFill="1" applyBorder="1" applyAlignment="1" applyProtection="1">
      <alignment horizontal="center" vertical="center"/>
    </xf>
    <xf numFmtId="0" fontId="8" fillId="4" borderId="14" xfId="0" applyFont="1" applyFill="1" applyBorder="1" applyAlignment="1" applyProtection="1">
      <alignment horizontal="center" vertical="center"/>
    </xf>
    <xf numFmtId="0" fontId="7" fillId="4" borderId="14" xfId="0" applyFont="1" applyFill="1" applyBorder="1" applyAlignment="1" applyProtection="1">
      <alignment horizontal="center" vertical="center"/>
    </xf>
    <xf numFmtId="0" fontId="7" fillId="4" borderId="31" xfId="0" applyFont="1" applyFill="1" applyBorder="1" applyAlignment="1" applyProtection="1">
      <alignment horizontal="center" vertical="center"/>
    </xf>
    <xf numFmtId="0" fontId="7" fillId="10" borderId="11" xfId="0" applyFont="1" applyFill="1" applyBorder="1" applyAlignment="1" applyProtection="1">
      <alignment horizontal="center" vertical="center"/>
    </xf>
    <xf numFmtId="0" fontId="11" fillId="0" borderId="14" xfId="0" applyFont="1" applyBorder="1" applyAlignment="1" applyProtection="1">
      <alignment horizontal="center" vertical="center"/>
    </xf>
    <xf numFmtId="0" fontId="19" fillId="0" borderId="14" xfId="0" applyFont="1" applyBorder="1" applyAlignment="1" applyProtection="1">
      <alignment horizontal="center" vertical="center"/>
      <protection locked="0"/>
    </xf>
    <xf numFmtId="0" fontId="8" fillId="6" borderId="53" xfId="0" applyFont="1" applyFill="1" applyBorder="1" applyAlignment="1">
      <alignment horizontal="left" vertical="center" wrapText="1"/>
    </xf>
    <xf numFmtId="0" fontId="8" fillId="10" borderId="22" xfId="0" applyFont="1" applyFill="1" applyBorder="1" applyAlignment="1">
      <alignment horizontal="left" vertical="top" wrapText="1"/>
    </xf>
    <xf numFmtId="0" fontId="13" fillId="5" borderId="0" xfId="0" applyFont="1" applyFill="1" applyBorder="1"/>
    <xf numFmtId="0" fontId="8" fillId="0" borderId="0" xfId="0" applyFont="1" applyAlignment="1">
      <alignment horizontal="left"/>
    </xf>
    <xf numFmtId="0" fontId="8" fillId="2" borderId="42" xfId="0" applyFont="1" applyFill="1" applyBorder="1" applyAlignment="1">
      <alignment vertical="top"/>
    </xf>
    <xf numFmtId="0" fontId="8" fillId="10" borderId="42" xfId="0" applyFont="1" applyFill="1" applyBorder="1" applyAlignment="1">
      <alignment horizontal="left" vertical="top"/>
    </xf>
    <xf numFmtId="0" fontId="13" fillId="5" borderId="0" xfId="0" applyFont="1" applyFill="1" applyBorder="1" applyAlignment="1"/>
    <xf numFmtId="0" fontId="12" fillId="0" borderId="0" xfId="0" applyFont="1" applyAlignment="1"/>
    <xf numFmtId="49" fontId="14" fillId="4" borderId="8" xfId="1" applyNumberFormat="1" applyFont="1" applyFill="1" applyBorder="1" applyAlignment="1">
      <alignment horizontal="center" vertical="center"/>
    </xf>
    <xf numFmtId="0" fontId="7" fillId="2" borderId="22" xfId="0" applyFont="1" applyFill="1" applyBorder="1" applyAlignment="1">
      <alignment horizontal="left" vertical="top"/>
    </xf>
    <xf numFmtId="0" fontId="7" fillId="6" borderId="6" xfId="0" applyFont="1" applyFill="1" applyBorder="1" applyAlignment="1" applyProtection="1">
      <alignment horizontal="center" vertical="center"/>
    </xf>
    <xf numFmtId="0" fontId="7" fillId="0" borderId="42" xfId="0" applyFont="1" applyBorder="1" applyAlignment="1">
      <alignment horizontal="left" vertical="center" wrapText="1"/>
    </xf>
    <xf numFmtId="0" fontId="7" fillId="4" borderId="73" xfId="0" applyFont="1" applyFill="1" applyBorder="1" applyAlignment="1" applyProtection="1">
      <alignment horizontal="center" vertical="center"/>
    </xf>
    <xf numFmtId="0" fontId="7" fillId="4" borderId="8" xfId="0" applyFont="1" applyFill="1" applyBorder="1" applyAlignment="1" applyProtection="1">
      <alignment horizontal="center" vertical="center"/>
    </xf>
    <xf numFmtId="0" fontId="7" fillId="0" borderId="8" xfId="0" applyFont="1" applyBorder="1" applyAlignment="1" applyProtection="1">
      <alignment horizontal="center" vertical="center"/>
      <protection locked="0"/>
    </xf>
    <xf numFmtId="0" fontId="7" fillId="2" borderId="42" xfId="0" applyFont="1" applyFill="1" applyBorder="1" applyAlignment="1">
      <alignment horizontal="left" vertical="top"/>
    </xf>
    <xf numFmtId="0" fontId="7" fillId="10" borderId="42" xfId="0" applyFont="1" applyFill="1" applyBorder="1" applyAlignment="1">
      <alignment horizontal="left" vertical="top" wrapText="1"/>
    </xf>
    <xf numFmtId="0" fontId="7" fillId="2" borderId="0" xfId="0" applyFont="1" applyFill="1" applyBorder="1" applyAlignment="1">
      <alignment horizontal="left" vertical="top"/>
    </xf>
    <xf numFmtId="0" fontId="7" fillId="10" borderId="0" xfId="0" applyFont="1" applyFill="1" applyBorder="1" applyAlignment="1">
      <alignment horizontal="left" vertical="top" wrapText="1"/>
    </xf>
    <xf numFmtId="0" fontId="8" fillId="10" borderId="0" xfId="0" applyFont="1" applyFill="1" applyBorder="1" applyAlignment="1">
      <alignment horizontal="left" vertical="top" wrapText="1"/>
    </xf>
    <xf numFmtId="0" fontId="7" fillId="5" borderId="9" xfId="0" applyFont="1" applyFill="1" applyBorder="1" applyAlignment="1" applyProtection="1">
      <alignment horizontal="center" vertical="center"/>
      <protection locked="0"/>
    </xf>
    <xf numFmtId="0" fontId="7" fillId="2" borderId="43" xfId="0" applyFont="1" applyFill="1" applyBorder="1" applyAlignment="1">
      <alignment vertical="top"/>
    </xf>
    <xf numFmtId="0" fontId="7" fillId="5" borderId="6" xfId="0" applyFont="1" applyFill="1" applyBorder="1" applyAlignment="1" applyProtection="1">
      <alignment horizontal="center" vertical="center"/>
      <protection locked="0"/>
    </xf>
    <xf numFmtId="0" fontId="7" fillId="2" borderId="22" xfId="0" applyFont="1" applyFill="1" applyBorder="1" applyAlignment="1">
      <alignment vertical="top"/>
    </xf>
    <xf numFmtId="49" fontId="8" fillId="6" borderId="53" xfId="0" applyNumberFormat="1" applyFont="1" applyFill="1" applyBorder="1" applyAlignment="1">
      <alignment horizontal="left" vertical="center" wrapText="1"/>
    </xf>
    <xf numFmtId="1" fontId="8" fillId="6" borderId="11" xfId="0" applyNumberFormat="1" applyFont="1" applyFill="1" applyBorder="1" applyAlignment="1" applyProtection="1">
      <alignment horizontal="center" vertical="center"/>
    </xf>
    <xf numFmtId="0" fontId="7" fillId="4" borderId="35" xfId="0" applyFont="1" applyFill="1" applyBorder="1" applyAlignment="1" applyProtection="1">
      <alignment horizontal="center" vertical="center"/>
    </xf>
    <xf numFmtId="0" fontId="7" fillId="4" borderId="71" xfId="0" applyFont="1" applyFill="1" applyBorder="1" applyAlignment="1" applyProtection="1">
      <alignment horizontal="center" vertical="center"/>
    </xf>
    <xf numFmtId="0" fontId="7" fillId="4" borderId="72" xfId="0" applyFont="1" applyFill="1" applyBorder="1" applyAlignment="1" applyProtection="1">
      <alignment horizontal="center" vertical="center"/>
    </xf>
    <xf numFmtId="0" fontId="7" fillId="5" borderId="53" xfId="0" applyFont="1" applyFill="1" applyBorder="1" applyAlignment="1">
      <alignment horizontal="left" vertical="center" wrapText="1"/>
    </xf>
    <xf numFmtId="0" fontId="7" fillId="5" borderId="42" xfId="0" applyFont="1" applyFill="1" applyBorder="1" applyAlignment="1">
      <alignment horizontal="left" vertical="center" wrapText="1"/>
    </xf>
    <xf numFmtId="0" fontId="7" fillId="0" borderId="37" xfId="0" applyFont="1" applyBorder="1" applyAlignment="1" applyProtection="1">
      <alignment horizontal="center" vertical="center"/>
      <protection locked="0"/>
    </xf>
    <xf numFmtId="0" fontId="7" fillId="2" borderId="43" xfId="0" applyFont="1" applyFill="1" applyBorder="1" applyAlignment="1">
      <alignment horizontal="left" vertical="top"/>
    </xf>
    <xf numFmtId="0" fontId="7" fillId="10" borderId="43" xfId="0" applyFont="1" applyFill="1" applyBorder="1" applyAlignment="1">
      <alignment horizontal="left" vertical="top"/>
    </xf>
    <xf numFmtId="0" fontId="7" fillId="0" borderId="31" xfId="0" applyFont="1" applyBorder="1" applyAlignment="1" applyProtection="1">
      <alignment horizontal="center" vertical="center"/>
      <protection locked="0"/>
    </xf>
    <xf numFmtId="0" fontId="7" fillId="0" borderId="30" xfId="0" applyFont="1" applyBorder="1" applyAlignment="1" applyProtection="1">
      <alignment horizontal="center" vertical="center" wrapText="1"/>
      <protection locked="0"/>
    </xf>
    <xf numFmtId="0" fontId="7" fillId="0" borderId="11" xfId="0" applyFont="1" applyBorder="1" applyAlignment="1" applyProtection="1">
      <alignment horizontal="center" vertical="center" wrapText="1"/>
      <protection locked="0"/>
    </xf>
    <xf numFmtId="0" fontId="7" fillId="0" borderId="31" xfId="0" applyFont="1" applyBorder="1" applyAlignment="1" applyProtection="1">
      <alignment horizontal="center" vertical="center" wrapText="1"/>
      <protection locked="0"/>
    </xf>
    <xf numFmtId="0" fontId="7" fillId="0" borderId="14" xfId="0" applyFont="1" applyBorder="1" applyAlignment="1" applyProtection="1">
      <alignment horizontal="center" vertical="center" wrapText="1"/>
      <protection locked="0"/>
    </xf>
    <xf numFmtId="0" fontId="18" fillId="5" borderId="53" xfId="0" applyFont="1" applyFill="1" applyBorder="1" applyAlignment="1">
      <alignment horizontal="left" vertical="center" wrapText="1"/>
    </xf>
    <xf numFmtId="0" fontId="7" fillId="5" borderId="30" xfId="0" applyFont="1" applyFill="1" applyBorder="1" applyAlignment="1" applyProtection="1">
      <alignment horizontal="center" vertical="center"/>
      <protection locked="0"/>
    </xf>
    <xf numFmtId="0" fontId="7" fillId="5" borderId="11" xfId="0" applyFont="1" applyFill="1" applyBorder="1" applyAlignment="1" applyProtection="1">
      <alignment horizontal="center" vertical="center"/>
      <protection locked="0"/>
    </xf>
    <xf numFmtId="0" fontId="7" fillId="5" borderId="0" xfId="0" applyFont="1" applyFill="1" applyAlignment="1">
      <alignment horizontal="left"/>
    </xf>
    <xf numFmtId="0" fontId="18" fillId="5" borderId="52" xfId="0" applyFont="1" applyFill="1" applyBorder="1" applyAlignment="1">
      <alignment horizontal="left" vertical="center" wrapText="1"/>
    </xf>
    <xf numFmtId="0" fontId="7" fillId="5" borderId="31" xfId="0" applyFont="1" applyFill="1" applyBorder="1" applyAlignment="1" applyProtection="1">
      <alignment horizontal="center" vertical="center"/>
      <protection locked="0"/>
    </xf>
    <xf numFmtId="0" fontId="7" fillId="5" borderId="14" xfId="0" applyFont="1" applyFill="1" applyBorder="1" applyAlignment="1" applyProtection="1">
      <alignment horizontal="center" vertical="center"/>
      <protection locked="0"/>
    </xf>
    <xf numFmtId="0" fontId="18" fillId="5" borderId="43" xfId="0" applyFont="1" applyFill="1" applyBorder="1" applyAlignment="1">
      <alignment horizontal="left" vertical="center" wrapText="1"/>
    </xf>
    <xf numFmtId="0" fontId="7" fillId="5" borderId="37" xfId="0" applyFont="1" applyFill="1" applyBorder="1" applyAlignment="1" applyProtection="1">
      <alignment horizontal="center" vertical="center"/>
      <protection locked="0"/>
    </xf>
    <xf numFmtId="0" fontId="18" fillId="5" borderId="42" xfId="0" applyFont="1" applyFill="1" applyBorder="1" applyAlignment="1">
      <alignment horizontal="left" vertical="center" wrapText="1"/>
    </xf>
    <xf numFmtId="0" fontId="7" fillId="5" borderId="35" xfId="0" applyFont="1" applyFill="1" applyBorder="1" applyAlignment="1" applyProtection="1">
      <alignment horizontal="center" vertical="center"/>
      <protection locked="0"/>
    </xf>
    <xf numFmtId="0" fontId="7" fillId="5" borderId="8" xfId="0" applyFont="1" applyFill="1" applyBorder="1" applyAlignment="1" applyProtection="1">
      <alignment horizontal="center" vertical="center"/>
      <protection locked="0"/>
    </xf>
    <xf numFmtId="0" fontId="7" fillId="2" borderId="9" xfId="0" applyFont="1" applyFill="1" applyBorder="1" applyAlignment="1" applyProtection="1">
      <alignment horizontal="center" vertical="center"/>
    </xf>
    <xf numFmtId="0" fontId="7" fillId="2" borderId="6" xfId="0" applyFont="1" applyFill="1" applyBorder="1" applyAlignment="1" applyProtection="1">
      <alignment horizontal="center" vertical="center"/>
    </xf>
    <xf numFmtId="0" fontId="8" fillId="3" borderId="22" xfId="0" applyFont="1" applyFill="1" applyBorder="1" applyAlignment="1">
      <alignment horizontal="left" vertical="center" wrapText="1"/>
    </xf>
    <xf numFmtId="0" fontId="7" fillId="3" borderId="6" xfId="0" applyFont="1" applyFill="1" applyBorder="1" applyAlignment="1" applyProtection="1">
      <alignment horizontal="center" vertical="center"/>
    </xf>
    <xf numFmtId="0" fontId="7" fillId="4" borderId="6" xfId="0" applyFont="1" applyFill="1" applyBorder="1" applyAlignment="1" applyProtection="1">
      <alignment horizontal="center" vertical="center"/>
      <protection locked="0"/>
    </xf>
    <xf numFmtId="0" fontId="8" fillId="12" borderId="22" xfId="0" applyFont="1" applyFill="1" applyBorder="1" applyAlignment="1">
      <alignment horizontal="left" vertical="center" wrapText="1"/>
    </xf>
    <xf numFmtId="0" fontId="7" fillId="0" borderId="6" xfId="0" applyFont="1" applyFill="1" applyBorder="1" applyAlignment="1" applyProtection="1">
      <alignment horizontal="center" vertical="center"/>
      <protection locked="0"/>
    </xf>
    <xf numFmtId="0" fontId="7" fillId="2" borderId="14" xfId="0" applyFont="1" applyFill="1" applyBorder="1" applyAlignment="1" applyProtection="1">
      <alignment horizontal="center" vertical="center"/>
    </xf>
    <xf numFmtId="0" fontId="7" fillId="2" borderId="11" xfId="0" applyFont="1" applyFill="1" applyBorder="1" applyAlignment="1" applyProtection="1">
      <alignment horizontal="center" vertical="center"/>
    </xf>
    <xf numFmtId="0" fontId="7" fillId="0" borderId="80" xfId="0" applyFont="1" applyBorder="1" applyAlignment="1">
      <alignment horizontal="left" vertical="center" wrapText="1"/>
    </xf>
    <xf numFmtId="1" fontId="8" fillId="6" borderId="30" xfId="0" applyNumberFormat="1" applyFont="1" applyFill="1" applyBorder="1" applyAlignment="1" applyProtection="1">
      <alignment horizontal="center" vertical="center"/>
    </xf>
    <xf numFmtId="0" fontId="7" fillId="0" borderId="81" xfId="0" applyFont="1" applyBorder="1" applyAlignment="1">
      <alignment horizontal="left" vertical="center" wrapText="1"/>
    </xf>
    <xf numFmtId="0" fontId="7" fillId="0" borderId="35" xfId="0" applyFont="1" applyBorder="1" applyAlignment="1" applyProtection="1">
      <alignment horizontal="center" vertical="center" wrapText="1"/>
      <protection locked="0"/>
    </xf>
    <xf numFmtId="0" fontId="8" fillId="6" borderId="81" xfId="0" applyFont="1" applyFill="1" applyBorder="1" applyAlignment="1">
      <alignment horizontal="left" vertical="center" wrapText="1"/>
    </xf>
    <xf numFmtId="0" fontId="8" fillId="6" borderId="85" xfId="0" applyFont="1" applyFill="1" applyBorder="1" applyAlignment="1" applyProtection="1">
      <alignment horizontal="center" vertical="center" wrapText="1"/>
    </xf>
    <xf numFmtId="0" fontId="8" fillId="6" borderId="65" xfId="0" applyFont="1" applyFill="1" applyBorder="1" applyAlignment="1">
      <alignment horizontal="center" vertical="center"/>
    </xf>
    <xf numFmtId="0" fontId="7" fillId="0" borderId="70" xfId="0" applyFont="1" applyBorder="1" applyAlignment="1" applyProtection="1">
      <alignment horizontal="center" vertical="center" wrapText="1"/>
      <protection locked="0"/>
    </xf>
    <xf numFmtId="0" fontId="7" fillId="0" borderId="67" xfId="0" applyFont="1" applyBorder="1" applyAlignment="1" applyProtection="1">
      <alignment horizontal="center" vertical="center" wrapText="1"/>
      <protection locked="0"/>
    </xf>
    <xf numFmtId="0" fontId="7" fillId="0" borderId="68" xfId="0" applyFont="1" applyBorder="1" applyAlignment="1" applyProtection="1">
      <alignment horizontal="center" vertical="center" wrapText="1"/>
      <protection locked="0"/>
    </xf>
    <xf numFmtId="0" fontId="7" fillId="0" borderId="76" xfId="0" applyFont="1" applyBorder="1" applyAlignment="1" applyProtection="1">
      <alignment horizontal="center" vertical="center" wrapText="1"/>
      <protection locked="0"/>
    </xf>
    <xf numFmtId="0" fontId="7" fillId="0" borderId="82" xfId="0" applyFont="1" applyBorder="1" applyAlignment="1">
      <alignment horizontal="left" vertical="center" wrapText="1"/>
    </xf>
    <xf numFmtId="0" fontId="7" fillId="0" borderId="69" xfId="0" applyFont="1" applyBorder="1" applyAlignment="1" applyProtection="1">
      <alignment horizontal="center" vertical="center" wrapText="1"/>
      <protection locked="0"/>
    </xf>
    <xf numFmtId="0" fontId="7" fillId="0" borderId="78" xfId="0" applyFont="1" applyBorder="1" applyAlignment="1" applyProtection="1">
      <alignment horizontal="center" vertical="center" wrapText="1"/>
      <protection locked="0"/>
    </xf>
    <xf numFmtId="0" fontId="7" fillId="0" borderId="83" xfId="0" applyFont="1" applyBorder="1" applyAlignment="1" applyProtection="1">
      <alignment horizontal="center" vertical="center" wrapText="1"/>
      <protection locked="0"/>
    </xf>
    <xf numFmtId="1" fontId="8" fillId="0" borderId="30" xfId="0" applyNumberFormat="1" applyFont="1" applyFill="1" applyBorder="1" applyAlignment="1" applyProtection="1">
      <alignment horizontal="center" vertical="center"/>
      <protection locked="0"/>
    </xf>
    <xf numFmtId="0" fontId="7" fillId="0" borderId="84" xfId="0" applyFont="1" applyBorder="1" applyAlignment="1">
      <alignment horizontal="left" vertical="center" wrapText="1"/>
    </xf>
    <xf numFmtId="0" fontId="8" fillId="6" borderId="66" xfId="0" applyFont="1" applyFill="1" applyBorder="1" applyAlignment="1">
      <alignment horizontal="center" vertical="center"/>
    </xf>
    <xf numFmtId="0" fontId="8" fillId="5" borderId="23" xfId="0" applyFont="1" applyFill="1" applyBorder="1" applyAlignment="1">
      <alignment horizontal="left" vertical="center" wrapText="1"/>
    </xf>
    <xf numFmtId="0" fontId="8" fillId="5" borderId="136" xfId="0" applyFont="1" applyFill="1" applyBorder="1" applyAlignment="1" applyProtection="1">
      <alignment horizontal="center" vertical="center" wrapText="1"/>
      <protection locked="0"/>
    </xf>
    <xf numFmtId="0" fontId="8" fillId="5" borderId="137" xfId="0" applyFont="1" applyFill="1" applyBorder="1" applyAlignment="1" applyProtection="1">
      <alignment horizontal="center" vertical="center" wrapText="1"/>
      <protection locked="0"/>
    </xf>
    <xf numFmtId="0" fontId="8" fillId="6" borderId="64" xfId="0" applyFont="1" applyFill="1" applyBorder="1" applyAlignment="1">
      <alignment horizontal="center" vertical="center"/>
    </xf>
    <xf numFmtId="0" fontId="8" fillId="5" borderId="60" xfId="0" applyFont="1" applyFill="1" applyBorder="1" applyAlignment="1">
      <alignment horizontal="left" vertical="center" wrapText="1"/>
    </xf>
    <xf numFmtId="0" fontId="8" fillId="5" borderId="138" xfId="0" applyFont="1" applyFill="1" applyBorder="1" applyAlignment="1" applyProtection="1">
      <alignment horizontal="center" vertical="center" wrapText="1"/>
      <protection locked="0"/>
    </xf>
    <xf numFmtId="0" fontId="8" fillId="5" borderId="87" xfId="0" applyFont="1" applyFill="1" applyBorder="1" applyAlignment="1" applyProtection="1">
      <alignment horizontal="center" vertical="center" wrapText="1"/>
      <protection locked="0"/>
    </xf>
    <xf numFmtId="0" fontId="8" fillId="6" borderId="61" xfId="0" applyFont="1" applyFill="1" applyBorder="1" applyAlignment="1">
      <alignment horizontal="center" vertical="center"/>
    </xf>
    <xf numFmtId="0" fontId="8" fillId="5" borderId="142" xfId="0" applyFont="1" applyFill="1" applyBorder="1" applyAlignment="1" applyProtection="1">
      <alignment horizontal="center" vertical="center" wrapText="1"/>
      <protection locked="0"/>
    </xf>
    <xf numFmtId="0" fontId="8" fillId="5" borderId="143" xfId="0" applyFont="1" applyFill="1" applyBorder="1" applyAlignment="1" applyProtection="1">
      <alignment horizontal="center" vertical="center" wrapText="1"/>
      <protection locked="0"/>
    </xf>
    <xf numFmtId="0" fontId="8" fillId="5" borderId="140" xfId="0" applyFont="1" applyFill="1" applyBorder="1" applyAlignment="1" applyProtection="1">
      <alignment horizontal="center" vertical="center" wrapText="1"/>
      <protection locked="0"/>
    </xf>
    <xf numFmtId="0" fontId="8" fillId="5" borderId="141" xfId="0" applyFont="1" applyFill="1" applyBorder="1" applyAlignment="1" applyProtection="1">
      <alignment horizontal="center" vertical="center" wrapText="1"/>
      <protection locked="0"/>
    </xf>
    <xf numFmtId="0" fontId="7" fillId="0" borderId="37" xfId="0" applyFont="1" applyBorder="1" applyAlignment="1" applyProtection="1">
      <alignment horizontal="center" vertical="center" wrapText="1"/>
      <protection locked="0"/>
    </xf>
    <xf numFmtId="0" fontId="7" fillId="5" borderId="22" xfId="0" applyFont="1" applyFill="1" applyBorder="1" applyAlignment="1">
      <alignment horizontal="left" vertical="center" wrapText="1"/>
    </xf>
    <xf numFmtId="0" fontId="7" fillId="0" borderId="7" xfId="0" applyFont="1" applyBorder="1" applyAlignment="1" applyProtection="1">
      <alignment horizontal="center" vertical="center" wrapText="1"/>
      <protection locked="0"/>
    </xf>
    <xf numFmtId="0" fontId="7" fillId="0" borderId="6" xfId="0" applyFont="1" applyBorder="1" applyAlignment="1" applyProtection="1">
      <alignment horizontal="center" vertical="center" wrapText="1"/>
      <protection locked="0"/>
    </xf>
    <xf numFmtId="0" fontId="7" fillId="5" borderId="7" xfId="0" applyFont="1" applyFill="1" applyBorder="1" applyAlignment="1" applyProtection="1">
      <alignment horizontal="center" vertical="center"/>
      <protection locked="0"/>
    </xf>
    <xf numFmtId="0" fontId="7" fillId="5" borderId="52" xfId="0" applyFont="1" applyFill="1" applyBorder="1" applyAlignment="1">
      <alignment horizontal="left" vertical="center" wrapText="1"/>
    </xf>
    <xf numFmtId="0" fontId="7" fillId="12" borderId="43" xfId="0" applyFont="1" applyFill="1" applyBorder="1" applyAlignment="1">
      <alignment horizontal="left" vertical="center" wrapText="1"/>
    </xf>
    <xf numFmtId="0" fontId="7" fillId="10" borderId="43" xfId="0" applyFont="1" applyFill="1" applyBorder="1" applyAlignment="1">
      <alignment wrapText="1"/>
    </xf>
    <xf numFmtId="0" fontId="7" fillId="12" borderId="22" xfId="0" applyFont="1" applyFill="1" applyBorder="1" applyAlignment="1">
      <alignment horizontal="left" vertical="center" wrapText="1"/>
    </xf>
    <xf numFmtId="0" fontId="11" fillId="0" borderId="6" xfId="0" applyFont="1" applyBorder="1" applyAlignment="1" applyProtection="1">
      <alignment horizontal="center" vertical="center"/>
      <protection locked="0"/>
    </xf>
    <xf numFmtId="0" fontId="11" fillId="4" borderId="6" xfId="0" applyFont="1" applyFill="1" applyBorder="1" applyAlignment="1" applyProtection="1">
      <alignment horizontal="center" vertical="center"/>
    </xf>
    <xf numFmtId="0" fontId="7" fillId="10" borderId="22" xfId="0" applyFont="1" applyFill="1" applyBorder="1" applyAlignment="1">
      <alignment wrapText="1"/>
    </xf>
    <xf numFmtId="49" fontId="7" fillId="6" borderId="22" xfId="0" applyNumberFormat="1" applyFont="1" applyFill="1" applyBorder="1" applyAlignment="1">
      <alignment horizontal="left" vertical="center" wrapText="1"/>
    </xf>
    <xf numFmtId="49" fontId="8" fillId="6" borderId="6" xfId="0" applyNumberFormat="1" applyFont="1" applyFill="1" applyBorder="1" applyAlignment="1" applyProtection="1">
      <alignment horizontal="center" vertical="center"/>
    </xf>
    <xf numFmtId="49" fontId="7" fillId="6" borderId="52" xfId="0" applyNumberFormat="1" applyFont="1" applyFill="1" applyBorder="1" applyAlignment="1">
      <alignment horizontal="left" vertical="center" wrapText="1"/>
    </xf>
    <xf numFmtId="49" fontId="8" fillId="6" borderId="14" xfId="0" applyNumberFormat="1" applyFont="1" applyFill="1" applyBorder="1" applyAlignment="1" applyProtection="1">
      <alignment horizontal="center" vertical="center"/>
    </xf>
    <xf numFmtId="0" fontId="7" fillId="12" borderId="53" xfId="0" applyFont="1" applyFill="1" applyBorder="1" applyAlignment="1">
      <alignment horizontal="left" vertical="center" wrapText="1"/>
    </xf>
    <xf numFmtId="0" fontId="8" fillId="0" borderId="22" xfId="0" applyFont="1" applyBorder="1" applyAlignment="1">
      <alignment horizontal="left" vertical="center" wrapText="1"/>
    </xf>
    <xf numFmtId="0" fontId="11" fillId="4" borderId="14" xfId="0" applyFont="1" applyFill="1" applyBorder="1" applyAlignment="1" applyProtection="1">
      <alignment horizontal="center" vertical="center"/>
    </xf>
    <xf numFmtId="0" fontId="8" fillId="4" borderId="7" xfId="0" applyFont="1" applyFill="1" applyBorder="1" applyAlignment="1" applyProtection="1">
      <alignment horizontal="center" vertical="center"/>
    </xf>
    <xf numFmtId="0" fontId="8" fillId="4" borderId="6" xfId="0" applyFont="1" applyFill="1" applyBorder="1" applyAlignment="1" applyProtection="1">
      <alignment horizontal="center" vertical="center"/>
    </xf>
    <xf numFmtId="49" fontId="8" fillId="6" borderId="52" xfId="0" applyNumberFormat="1" applyFont="1" applyFill="1" applyBorder="1" applyAlignment="1">
      <alignment horizontal="left" vertical="center" wrapText="1"/>
    </xf>
    <xf numFmtId="49" fontId="8" fillId="6" borderId="31" xfId="0" applyNumberFormat="1" applyFont="1" applyFill="1" applyBorder="1" applyAlignment="1" applyProtection="1">
      <alignment horizontal="center" vertical="center"/>
    </xf>
    <xf numFmtId="0" fontId="11" fillId="5" borderId="30" xfId="0" applyFont="1" applyFill="1" applyBorder="1" applyAlignment="1" applyProtection="1">
      <alignment horizontal="center" vertical="center"/>
      <protection locked="0"/>
    </xf>
    <xf numFmtId="0" fontId="11" fillId="5" borderId="11" xfId="0" applyFont="1" applyFill="1" applyBorder="1" applyAlignment="1" applyProtection="1">
      <alignment horizontal="center" vertical="center"/>
      <protection locked="0"/>
    </xf>
    <xf numFmtId="0" fontId="11" fillId="5" borderId="7" xfId="0" applyFont="1" applyFill="1" applyBorder="1" applyAlignment="1" applyProtection="1">
      <alignment horizontal="center" vertical="center"/>
      <protection locked="0"/>
    </xf>
    <xf numFmtId="0" fontId="11" fillId="5" borderId="6" xfId="0" applyFont="1" applyFill="1" applyBorder="1" applyAlignment="1" applyProtection="1">
      <alignment horizontal="center" vertical="center"/>
      <protection locked="0"/>
    </xf>
    <xf numFmtId="49" fontId="8" fillId="6" borderId="42" xfId="0" applyNumberFormat="1" applyFont="1" applyFill="1" applyBorder="1" applyAlignment="1">
      <alignment horizontal="left" vertical="center" wrapText="1"/>
    </xf>
    <xf numFmtId="49" fontId="8" fillId="6" borderId="35" xfId="0" applyNumberFormat="1" applyFont="1" applyFill="1" applyBorder="1" applyAlignment="1" applyProtection="1">
      <alignment horizontal="center" vertical="center"/>
    </xf>
    <xf numFmtId="0" fontId="10" fillId="2" borderId="22" xfId="0" applyFont="1" applyFill="1" applyBorder="1" applyAlignment="1">
      <alignment horizontal="left" vertical="top"/>
    </xf>
    <xf numFmtId="0" fontId="7" fillId="0" borderId="38" xfId="0" applyFont="1" applyBorder="1" applyAlignment="1">
      <alignment horizontal="left" vertical="center" wrapText="1"/>
    </xf>
    <xf numFmtId="0" fontId="7" fillId="4" borderId="18" xfId="0" applyFont="1" applyFill="1" applyBorder="1" applyAlignment="1" applyProtection="1">
      <alignment horizontal="center" vertical="center"/>
    </xf>
    <xf numFmtId="0" fontId="7" fillId="0" borderId="18" xfId="0" applyFont="1" applyBorder="1" applyAlignment="1" applyProtection="1">
      <alignment horizontal="center" vertical="center"/>
      <protection locked="0"/>
    </xf>
    <xf numFmtId="0" fontId="8" fillId="6" borderId="38" xfId="0" applyFont="1" applyFill="1" applyBorder="1" applyAlignment="1">
      <alignment horizontal="left" vertical="center" wrapText="1"/>
    </xf>
    <xf numFmtId="0" fontId="25" fillId="6" borderId="39" xfId="2" applyFont="1" applyFill="1" applyBorder="1" applyAlignment="1" applyProtection="1">
      <alignment horizontal="center" vertical="center" wrapText="1"/>
    </xf>
    <xf numFmtId="0" fontId="25" fillId="6" borderId="18" xfId="2" applyFont="1" applyFill="1" applyBorder="1" applyAlignment="1" applyProtection="1">
      <alignment horizontal="center" vertical="center" wrapText="1"/>
    </xf>
    <xf numFmtId="0" fontId="10" fillId="5" borderId="0" xfId="0" applyFont="1" applyFill="1" applyBorder="1" applyAlignment="1">
      <alignment wrapText="1"/>
    </xf>
    <xf numFmtId="0" fontId="7" fillId="0" borderId="0" xfId="0" applyFont="1" applyAlignment="1">
      <alignment horizontal="left" wrapText="1"/>
    </xf>
    <xf numFmtId="0" fontId="5" fillId="0" borderId="0" xfId="0" applyFont="1" applyAlignment="1">
      <alignment wrapText="1"/>
    </xf>
    <xf numFmtId="0" fontId="7" fillId="0" borderId="30" xfId="0" applyFont="1" applyBorder="1" applyAlignment="1" applyProtection="1">
      <alignment horizontal="center" vertical="center"/>
      <protection locked="0"/>
    </xf>
    <xf numFmtId="0" fontId="7" fillId="0" borderId="7" xfId="0" applyFont="1" applyBorder="1" applyAlignment="1" applyProtection="1">
      <alignment horizontal="center" vertical="center"/>
      <protection locked="0"/>
    </xf>
    <xf numFmtId="0" fontId="21" fillId="0" borderId="10" xfId="0" applyFont="1" applyBorder="1" applyAlignment="1">
      <alignment horizontal="left" vertical="center" wrapText="1"/>
    </xf>
    <xf numFmtId="0" fontId="7" fillId="4" borderId="17" xfId="0" applyFont="1" applyFill="1" applyBorder="1" applyAlignment="1" applyProtection="1">
      <alignment horizontal="center" vertical="center"/>
    </xf>
    <xf numFmtId="0" fontId="7" fillId="0" borderId="16" xfId="0" applyFont="1" applyBorder="1" applyAlignment="1" applyProtection="1">
      <alignment horizontal="center" vertical="center"/>
      <protection locked="0"/>
    </xf>
    <xf numFmtId="0" fontId="8" fillId="6" borderId="52" xfId="0" applyFont="1" applyFill="1" applyBorder="1" applyAlignment="1">
      <alignment horizontal="left" vertical="center" wrapText="1"/>
    </xf>
    <xf numFmtId="0" fontId="25" fillId="6" borderId="31" xfId="2" applyFont="1" applyFill="1" applyBorder="1" applyAlignment="1" applyProtection="1">
      <alignment horizontal="center" vertical="center"/>
    </xf>
    <xf numFmtId="0" fontId="8" fillId="6" borderId="29" xfId="0" applyFont="1" applyFill="1" applyBorder="1" applyAlignment="1">
      <alignment horizontal="left" vertical="center" wrapText="1"/>
    </xf>
    <xf numFmtId="0" fontId="7" fillId="0" borderId="44" xfId="0" applyFont="1" applyBorder="1" applyAlignment="1">
      <alignment horizontal="left" vertical="center" wrapText="1"/>
    </xf>
    <xf numFmtId="0" fontId="7" fillId="6" borderId="31" xfId="0" applyFont="1" applyFill="1" applyBorder="1" applyAlignment="1" applyProtection="1">
      <alignment horizontal="center" vertical="center"/>
    </xf>
    <xf numFmtId="0" fontId="7" fillId="6" borderId="14" xfId="0" applyFont="1" applyFill="1" applyBorder="1" applyAlignment="1" applyProtection="1">
      <alignment horizontal="center" vertical="center"/>
    </xf>
    <xf numFmtId="0" fontId="25" fillId="6" borderId="30" xfId="2" applyFont="1" applyFill="1" applyBorder="1" applyAlignment="1" applyProtection="1">
      <alignment horizontal="center" vertical="center"/>
    </xf>
    <xf numFmtId="0" fontId="7" fillId="0" borderId="35" xfId="0" applyFont="1" applyBorder="1" applyAlignment="1" applyProtection="1">
      <alignment horizontal="center" vertical="center"/>
      <protection locked="0"/>
    </xf>
    <xf numFmtId="1" fontId="14" fillId="5" borderId="30" xfId="1" applyNumberFormat="1" applyFont="1" applyFill="1" applyBorder="1" applyAlignment="1" applyProtection="1">
      <alignment horizontal="center" vertical="center"/>
      <protection locked="0"/>
    </xf>
    <xf numFmtId="1" fontId="14" fillId="5" borderId="11" xfId="1" applyNumberFormat="1" applyFont="1" applyFill="1" applyBorder="1" applyAlignment="1" applyProtection="1">
      <alignment horizontal="center" vertical="center"/>
      <protection locked="0"/>
    </xf>
    <xf numFmtId="0" fontId="8" fillId="7" borderId="22" xfId="0" applyFont="1" applyFill="1" applyBorder="1" applyAlignment="1">
      <alignment horizontal="center" vertical="center"/>
    </xf>
    <xf numFmtId="0" fontId="8" fillId="8" borderId="22" xfId="0" applyFont="1" applyFill="1" applyBorder="1" applyAlignment="1">
      <alignment horizontal="center" vertical="center"/>
    </xf>
    <xf numFmtId="1" fontId="14" fillId="5" borderId="7" xfId="1" applyNumberFormat="1" applyFont="1" applyFill="1" applyBorder="1" applyAlignment="1" applyProtection="1">
      <alignment horizontal="center" vertical="center"/>
      <protection locked="0"/>
    </xf>
    <xf numFmtId="1" fontId="14" fillId="5" borderId="6" xfId="1" applyNumberFormat="1" applyFont="1" applyFill="1" applyBorder="1" applyAlignment="1" applyProtection="1">
      <alignment horizontal="center" vertical="center"/>
      <protection locked="0"/>
    </xf>
    <xf numFmtId="1" fontId="14" fillId="5" borderId="31" xfId="1" applyNumberFormat="1" applyFont="1" applyFill="1" applyBorder="1" applyAlignment="1" applyProtection="1">
      <alignment horizontal="center" vertical="center"/>
      <protection locked="0"/>
    </xf>
    <xf numFmtId="1" fontId="14" fillId="5" borderId="14" xfId="1" applyNumberFormat="1" applyFont="1" applyFill="1" applyBorder="1" applyAlignment="1" applyProtection="1">
      <alignment horizontal="center" vertical="center"/>
      <protection locked="0"/>
    </xf>
    <xf numFmtId="0" fontId="8" fillId="3" borderId="52" xfId="0" applyFont="1" applyFill="1" applyBorder="1" applyAlignment="1">
      <alignment horizontal="left" vertical="center" wrapText="1"/>
    </xf>
    <xf numFmtId="0" fontId="7" fillId="3" borderId="31" xfId="0" applyFont="1" applyFill="1" applyBorder="1" applyAlignment="1" applyProtection="1">
      <alignment horizontal="center" vertical="center"/>
    </xf>
    <xf numFmtId="0" fontId="7" fillId="3" borderId="14" xfId="0" applyFont="1" applyFill="1" applyBorder="1" applyAlignment="1" applyProtection="1">
      <alignment horizontal="center" vertical="center"/>
    </xf>
    <xf numFmtId="0" fontId="7" fillId="3" borderId="15" xfId="0" applyFont="1" applyFill="1" applyBorder="1" applyAlignment="1" applyProtection="1">
      <alignment horizontal="center" vertical="center"/>
      <protection locked="0"/>
    </xf>
    <xf numFmtId="0" fontId="5" fillId="5" borderId="0" xfId="0" applyFont="1" applyFill="1" applyAlignment="1"/>
    <xf numFmtId="0" fontId="7" fillId="5" borderId="27" xfId="0" applyFont="1" applyFill="1" applyBorder="1" applyAlignment="1">
      <alignment horizontal="left" vertical="center" wrapText="1"/>
    </xf>
    <xf numFmtId="49" fontId="14" fillId="4" borderId="30" xfId="1" applyNumberFormat="1" applyFont="1" applyFill="1" applyBorder="1" applyAlignment="1">
      <alignment horizontal="center" vertical="center"/>
    </xf>
    <xf numFmtId="49" fontId="14" fillId="4" borderId="11" xfId="1" applyNumberFormat="1" applyFont="1" applyFill="1" applyBorder="1" applyAlignment="1">
      <alignment horizontal="center" vertical="center"/>
    </xf>
    <xf numFmtId="49" fontId="8" fillId="6" borderId="29" xfId="0" applyNumberFormat="1" applyFont="1" applyFill="1" applyBorder="1" applyAlignment="1">
      <alignment horizontal="left" vertical="center" wrapText="1"/>
    </xf>
    <xf numFmtId="0" fontId="28" fillId="5" borderId="10" xfId="0" applyFont="1" applyFill="1" applyBorder="1" applyAlignment="1">
      <alignment horizontal="left" vertical="center"/>
    </xf>
    <xf numFmtId="0" fontId="8" fillId="5" borderId="47" xfId="0" applyFont="1" applyFill="1" applyBorder="1" applyAlignment="1">
      <alignment vertical="top"/>
    </xf>
    <xf numFmtId="0" fontId="9" fillId="5" borderId="139" xfId="0" applyFont="1" applyFill="1" applyBorder="1" applyAlignment="1">
      <alignment horizontal="left" vertical="center"/>
    </xf>
    <xf numFmtId="0" fontId="7" fillId="0" borderId="0" xfId="0" applyFont="1"/>
    <xf numFmtId="0" fontId="10" fillId="0" borderId="0" xfId="0" applyFont="1" applyFill="1" applyBorder="1"/>
    <xf numFmtId="0" fontId="29" fillId="0" borderId="0" xfId="0" applyFont="1" applyAlignment="1">
      <alignment horizontal="left" vertical="center" wrapText="1"/>
    </xf>
    <xf numFmtId="0" fontId="22" fillId="0" borderId="0" xfId="0" applyFont="1" applyFill="1" applyBorder="1"/>
    <xf numFmtId="0" fontId="22" fillId="5" borderId="0" xfId="0" applyFont="1" applyFill="1" applyBorder="1"/>
    <xf numFmtId="0" fontId="5" fillId="0" borderId="0" xfId="0" applyFont="1" applyAlignment="1">
      <alignment horizontal="left"/>
    </xf>
    <xf numFmtId="0" fontId="31" fillId="0" borderId="0" xfId="0" applyFont="1" applyFill="1" applyBorder="1" applyAlignment="1">
      <alignment vertical="center"/>
    </xf>
    <xf numFmtId="0" fontId="31" fillId="5" borderId="0" xfId="0" applyFont="1" applyFill="1" applyBorder="1" applyAlignment="1">
      <alignment vertical="center"/>
    </xf>
    <xf numFmtId="0" fontId="32" fillId="0" borderId="0" xfId="0" applyFont="1" applyAlignment="1">
      <alignment horizontal="left" vertical="center"/>
    </xf>
    <xf numFmtId="0" fontId="32" fillId="0" borderId="0" xfId="0" applyFont="1" applyAlignment="1">
      <alignment vertical="center"/>
    </xf>
    <xf numFmtId="0" fontId="35" fillId="0" borderId="0" xfId="0" applyFont="1" applyFill="1" applyBorder="1"/>
    <xf numFmtId="0" fontId="35" fillId="5" borderId="0" xfId="0" applyFont="1" applyFill="1" applyBorder="1"/>
    <xf numFmtId="0" fontId="36" fillId="0" borderId="0" xfId="0" applyFont="1" applyAlignment="1">
      <alignment horizontal="left"/>
    </xf>
    <xf numFmtId="0" fontId="36" fillId="0" borderId="0" xfId="0" applyFont="1"/>
    <xf numFmtId="0" fontId="38" fillId="0" borderId="0" xfId="0" applyFont="1" applyAlignment="1">
      <alignment horizontal="left" vertical="center" wrapText="1"/>
    </xf>
    <xf numFmtId="49" fontId="18" fillId="4" borderId="8" xfId="1" applyNumberFormat="1" applyFont="1" applyFill="1" applyBorder="1" applyAlignment="1">
      <alignment horizontal="center" vertical="center"/>
    </xf>
    <xf numFmtId="49" fontId="18" fillId="4" borderId="31" xfId="1" applyNumberFormat="1" applyFont="1" applyFill="1" applyBorder="1" applyAlignment="1">
      <alignment horizontal="center" vertical="center"/>
    </xf>
    <xf numFmtId="0" fontId="10" fillId="4" borderId="71" xfId="0" applyFont="1" applyFill="1" applyBorder="1" applyAlignment="1" applyProtection="1">
      <alignment horizontal="center" vertical="center"/>
    </xf>
    <xf numFmtId="0" fontId="13" fillId="4" borderId="73" xfId="0" applyFont="1" applyFill="1" applyBorder="1" applyAlignment="1" applyProtection="1">
      <alignment horizontal="center" vertical="center"/>
    </xf>
    <xf numFmtId="0" fontId="7" fillId="0" borderId="23" xfId="0" applyFont="1" applyBorder="1" applyAlignment="1">
      <alignment horizontal="left" vertical="center" wrapText="1"/>
    </xf>
    <xf numFmtId="0" fontId="8" fillId="0" borderId="25" xfId="0" applyFont="1" applyBorder="1" applyAlignment="1">
      <alignment horizontal="left" vertical="center" wrapText="1"/>
    </xf>
    <xf numFmtId="0" fontId="12" fillId="0" borderId="0" xfId="0" applyFont="1" applyAlignment="1">
      <alignment vertical="center"/>
    </xf>
    <xf numFmtId="0" fontId="11" fillId="6" borderId="165" xfId="3" applyFont="1" applyFill="1" applyBorder="1" applyAlignment="1">
      <alignment horizontal="left" vertical="center"/>
    </xf>
    <xf numFmtId="0" fontId="8" fillId="5" borderId="48" xfId="0" applyFont="1" applyFill="1" applyBorder="1" applyAlignment="1">
      <alignment horizontal="left"/>
    </xf>
    <xf numFmtId="0" fontId="8" fillId="6" borderId="166" xfId="0" applyFont="1" applyFill="1" applyBorder="1" applyAlignment="1">
      <alignment horizontal="left" vertical="center" wrapText="1"/>
    </xf>
    <xf numFmtId="0" fontId="8" fillId="2" borderId="42" xfId="0" applyFont="1" applyFill="1" applyBorder="1" applyAlignment="1">
      <alignment horizontal="left" vertical="top"/>
    </xf>
    <xf numFmtId="0" fontId="7" fillId="2" borderId="22" xfId="0" applyFont="1" applyFill="1" applyBorder="1" applyAlignment="1">
      <alignment horizontal="left" vertical="top"/>
    </xf>
    <xf numFmtId="0" fontId="8" fillId="2" borderId="22" xfId="0" applyFont="1" applyFill="1" applyBorder="1" applyAlignment="1">
      <alignment horizontal="left" vertical="top"/>
    </xf>
    <xf numFmtId="49" fontId="14" fillId="4" borderId="9" xfId="1" applyNumberFormat="1" applyFont="1" applyFill="1" applyBorder="1" applyAlignment="1">
      <alignment horizontal="center" vertical="center"/>
    </xf>
    <xf numFmtId="0" fontId="7" fillId="4" borderId="33" xfId="0" applyFont="1" applyFill="1" applyBorder="1" applyAlignment="1" applyProtection="1">
      <alignment horizontal="center" vertical="center"/>
    </xf>
    <xf numFmtId="0" fontId="7" fillId="4" borderId="16" xfId="0" applyFont="1" applyFill="1" applyBorder="1" applyAlignment="1" applyProtection="1">
      <alignment horizontal="center" vertical="center"/>
    </xf>
    <xf numFmtId="0" fontId="16" fillId="0" borderId="0" xfId="0" applyFont="1" applyBorder="1" applyAlignment="1">
      <alignment horizontal="left" vertical="center" wrapText="1"/>
    </xf>
    <xf numFmtId="0" fontId="7" fillId="5" borderId="0" xfId="0" applyFont="1" applyFill="1" applyBorder="1" applyAlignment="1" applyProtection="1">
      <alignment horizontal="center" vertical="center"/>
      <protection locked="0"/>
    </xf>
    <xf numFmtId="0" fontId="7" fillId="4" borderId="66" xfId="0" applyFont="1" applyFill="1" applyBorder="1" applyAlignment="1" applyProtection="1">
      <alignment horizontal="center" vertical="center"/>
    </xf>
    <xf numFmtId="0" fontId="7" fillId="4" borderId="124" xfId="0" applyFont="1" applyFill="1" applyBorder="1" applyAlignment="1" applyProtection="1">
      <alignment horizontal="center" vertical="center"/>
    </xf>
    <xf numFmtId="49" fontId="8" fillId="6" borderId="0" xfId="0" applyNumberFormat="1" applyFont="1" applyFill="1" applyBorder="1" applyAlignment="1" applyProtection="1">
      <alignment horizontal="center" vertical="center"/>
    </xf>
    <xf numFmtId="0" fontId="7" fillId="4" borderId="167" xfId="0" applyFont="1" applyFill="1" applyBorder="1" applyAlignment="1" applyProtection="1">
      <alignment horizontal="center" vertical="center"/>
    </xf>
    <xf numFmtId="0" fontId="7" fillId="0" borderId="20" xfId="0" applyFont="1" applyBorder="1" applyAlignment="1" applyProtection="1">
      <alignment horizontal="center" vertical="center"/>
      <protection locked="0"/>
    </xf>
    <xf numFmtId="0" fontId="7" fillId="0" borderId="21" xfId="0" applyFont="1" applyBorder="1" applyAlignment="1" applyProtection="1">
      <alignment horizontal="center" vertical="center"/>
      <protection locked="0"/>
    </xf>
    <xf numFmtId="0" fontId="19" fillId="0" borderId="21" xfId="0" applyFont="1" applyBorder="1" applyAlignment="1" applyProtection="1">
      <alignment horizontal="center" vertical="center"/>
      <protection locked="0"/>
    </xf>
    <xf numFmtId="0" fontId="7" fillId="0" borderId="45" xfId="0" applyFont="1" applyBorder="1" applyAlignment="1" applyProtection="1">
      <alignment horizontal="center" vertical="center"/>
      <protection locked="0"/>
    </xf>
    <xf numFmtId="0" fontId="7" fillId="0" borderId="168" xfId="0" applyFont="1" applyBorder="1" applyAlignment="1" applyProtection="1">
      <alignment horizontal="center" vertical="center"/>
      <protection locked="0"/>
    </xf>
    <xf numFmtId="0" fontId="11" fillId="0" borderId="45" xfId="0" applyFont="1" applyBorder="1" applyAlignment="1" applyProtection="1">
      <alignment horizontal="center" vertical="center"/>
      <protection locked="0"/>
    </xf>
    <xf numFmtId="0" fontId="7" fillId="4" borderId="168" xfId="0" applyFont="1" applyFill="1" applyBorder="1" applyAlignment="1" applyProtection="1">
      <alignment horizontal="center" vertical="center"/>
    </xf>
    <xf numFmtId="0" fontId="7" fillId="4" borderId="45" xfId="0" applyFont="1" applyFill="1" applyBorder="1" applyAlignment="1" applyProtection="1">
      <alignment horizontal="center" vertical="center"/>
    </xf>
    <xf numFmtId="0" fontId="7" fillId="10" borderId="168" xfId="0" applyFont="1" applyFill="1" applyBorder="1" applyAlignment="1" applyProtection="1">
      <alignment horizontal="center" vertical="center"/>
    </xf>
    <xf numFmtId="0" fontId="11" fillId="0" borderId="45" xfId="0" applyFont="1" applyBorder="1" applyAlignment="1" applyProtection="1">
      <alignment horizontal="center" vertical="center"/>
    </xf>
    <xf numFmtId="0" fontId="19" fillId="0" borderId="45" xfId="0" applyFont="1" applyBorder="1" applyAlignment="1" applyProtection="1">
      <alignment horizontal="center" vertical="center"/>
      <protection locked="0"/>
    </xf>
    <xf numFmtId="0" fontId="7" fillId="6" borderId="21" xfId="0" applyFont="1" applyFill="1" applyBorder="1" applyAlignment="1" applyProtection="1">
      <alignment horizontal="center" vertical="center"/>
    </xf>
    <xf numFmtId="0" fontId="7" fillId="0" borderId="26" xfId="0" applyFont="1" applyBorder="1" applyAlignment="1" applyProtection="1">
      <alignment horizontal="center" vertical="center"/>
      <protection locked="0"/>
    </xf>
    <xf numFmtId="0" fontId="7" fillId="5" borderId="20" xfId="0" applyFont="1" applyFill="1" applyBorder="1" applyAlignment="1" applyProtection="1">
      <alignment horizontal="center" vertical="center"/>
      <protection locked="0"/>
    </xf>
    <xf numFmtId="0" fontId="7" fillId="5" borderId="21" xfId="0" applyFont="1" applyFill="1" applyBorder="1" applyAlignment="1" applyProtection="1">
      <alignment horizontal="center" vertical="center"/>
      <protection locked="0"/>
    </xf>
    <xf numFmtId="1" fontId="8" fillId="6" borderId="168" xfId="0" applyNumberFormat="1" applyFont="1" applyFill="1" applyBorder="1" applyAlignment="1" applyProtection="1">
      <alignment horizontal="center" vertical="center"/>
    </xf>
    <xf numFmtId="0" fontId="7" fillId="0" borderId="32" xfId="0" applyFont="1" applyBorder="1" applyAlignment="1" applyProtection="1">
      <alignment horizontal="center" vertical="center"/>
      <protection locked="0"/>
    </xf>
    <xf numFmtId="0" fontId="7" fillId="4" borderId="26" xfId="0" applyFont="1" applyFill="1" applyBorder="1" applyAlignment="1" applyProtection="1">
      <alignment horizontal="center" vertical="center"/>
    </xf>
    <xf numFmtId="0" fontId="7" fillId="0" borderId="168" xfId="0" applyFont="1" applyBorder="1" applyAlignment="1" applyProtection="1">
      <alignment horizontal="center" vertical="center" wrapText="1"/>
      <protection locked="0"/>
    </xf>
    <xf numFmtId="0" fontId="7" fillId="0" borderId="45" xfId="0" applyFont="1" applyBorder="1" applyAlignment="1" applyProtection="1">
      <alignment horizontal="center" vertical="center" wrapText="1"/>
      <protection locked="0"/>
    </xf>
    <xf numFmtId="0" fontId="7" fillId="5" borderId="168" xfId="0" applyFont="1" applyFill="1" applyBorder="1" applyAlignment="1" applyProtection="1">
      <alignment horizontal="center" vertical="center"/>
      <protection locked="0"/>
    </xf>
    <xf numFmtId="0" fontId="7" fillId="5" borderId="45" xfId="0" applyFont="1" applyFill="1" applyBorder="1" applyAlignment="1" applyProtection="1">
      <alignment horizontal="center" vertical="center"/>
      <protection locked="0"/>
    </xf>
    <xf numFmtId="0" fontId="7" fillId="5" borderId="26" xfId="0" applyFont="1" applyFill="1" applyBorder="1" applyAlignment="1" applyProtection="1">
      <alignment horizontal="center" vertical="center"/>
      <protection locked="0"/>
    </xf>
    <xf numFmtId="0" fontId="7" fillId="3" borderId="21" xfId="0" applyFont="1" applyFill="1" applyBorder="1" applyAlignment="1" applyProtection="1">
      <alignment horizontal="center" vertical="center"/>
    </xf>
    <xf numFmtId="0" fontId="7" fillId="0" borderId="21" xfId="0" applyFont="1" applyFill="1" applyBorder="1" applyAlignment="1" applyProtection="1">
      <alignment horizontal="center" vertical="center"/>
      <protection locked="0"/>
    </xf>
    <xf numFmtId="0" fontId="7" fillId="0" borderId="42" xfId="0" applyFont="1" applyBorder="1" applyAlignment="1" applyProtection="1">
      <alignment horizontal="center" vertical="center" wrapText="1"/>
      <protection locked="0"/>
    </xf>
    <xf numFmtId="0" fontId="8" fillId="6" borderId="0" xfId="0" applyFont="1" applyFill="1" applyBorder="1" applyAlignment="1" applyProtection="1">
      <alignment horizontal="center" vertical="center" wrapText="1"/>
    </xf>
    <xf numFmtId="0" fontId="7" fillId="0" borderId="0" xfId="0" applyFont="1" applyBorder="1" applyAlignment="1" applyProtection="1">
      <alignment horizontal="center" vertical="center" wrapText="1"/>
      <protection locked="0"/>
    </xf>
    <xf numFmtId="1" fontId="8" fillId="0" borderId="43" xfId="0" applyNumberFormat="1" applyFont="1" applyFill="1" applyBorder="1" applyAlignment="1" applyProtection="1">
      <alignment horizontal="center" vertical="center"/>
      <protection locked="0"/>
    </xf>
    <xf numFmtId="1" fontId="8" fillId="6" borderId="43" xfId="0" applyNumberFormat="1" applyFont="1" applyFill="1" applyBorder="1" applyAlignment="1" applyProtection="1">
      <alignment horizontal="center" vertical="center"/>
    </xf>
    <xf numFmtId="0" fontId="8" fillId="5" borderId="170" xfId="0" applyFont="1" applyFill="1" applyBorder="1" applyAlignment="1" applyProtection="1">
      <alignment horizontal="center" vertical="center" wrapText="1"/>
      <protection locked="0"/>
    </xf>
    <xf numFmtId="0" fontId="8" fillId="5" borderId="171" xfId="0" applyFont="1" applyFill="1" applyBorder="1" applyAlignment="1" applyProtection="1">
      <alignment horizontal="center" vertical="center" wrapText="1"/>
      <protection locked="0"/>
    </xf>
    <xf numFmtId="0" fontId="7" fillId="0" borderId="43" xfId="0" applyFont="1" applyBorder="1" applyAlignment="1" applyProtection="1">
      <alignment horizontal="center" vertical="center" wrapText="1"/>
      <protection locked="0"/>
    </xf>
    <xf numFmtId="0" fontId="7" fillId="0" borderId="21" xfId="0" applyFont="1" applyBorder="1" applyAlignment="1" applyProtection="1">
      <alignment horizontal="center" vertical="center" wrapText="1"/>
      <protection locked="0"/>
    </xf>
    <xf numFmtId="0" fontId="7" fillId="5" borderId="22" xfId="0" applyFont="1" applyFill="1" applyBorder="1" applyAlignment="1" applyProtection="1">
      <alignment horizontal="center" vertical="center"/>
      <protection locked="0"/>
    </xf>
    <xf numFmtId="0" fontId="7" fillId="5" borderId="52" xfId="0" applyFont="1" applyFill="1" applyBorder="1" applyAlignment="1" applyProtection="1">
      <alignment horizontal="center" vertical="center"/>
      <protection locked="0"/>
    </xf>
    <xf numFmtId="0" fontId="7" fillId="4" borderId="20" xfId="0" applyFont="1" applyFill="1" applyBorder="1" applyAlignment="1" applyProtection="1">
      <alignment horizontal="center" vertical="center"/>
    </xf>
    <xf numFmtId="0" fontId="7" fillId="4" borderId="21" xfId="0" applyFont="1" applyFill="1" applyBorder="1" applyAlignment="1" applyProtection="1">
      <alignment horizontal="center" vertical="center"/>
    </xf>
    <xf numFmtId="0" fontId="7" fillId="4" borderId="51" xfId="0" applyFont="1" applyFill="1" applyBorder="1" applyAlignment="1" applyProtection="1">
      <alignment horizontal="center" vertical="center"/>
    </xf>
    <xf numFmtId="0" fontId="7" fillId="4" borderId="0" xfId="0" applyFont="1" applyFill="1" applyBorder="1" applyAlignment="1" applyProtection="1">
      <alignment horizontal="center" vertical="center"/>
    </xf>
    <xf numFmtId="0" fontId="25" fillId="6" borderId="52" xfId="2" applyFont="1" applyFill="1" applyBorder="1" applyAlignment="1" applyProtection="1">
      <alignment horizontal="center" vertical="center"/>
    </xf>
    <xf numFmtId="0" fontId="7" fillId="0" borderId="47" xfId="0" applyFont="1" applyBorder="1" applyAlignment="1" applyProtection="1">
      <alignment horizontal="center" vertical="center"/>
      <protection locked="0"/>
    </xf>
    <xf numFmtId="0" fontId="7" fillId="0" borderId="53" xfId="0" applyFont="1" applyBorder="1" applyAlignment="1" applyProtection="1">
      <alignment horizontal="center" vertical="center"/>
      <protection locked="0"/>
    </xf>
    <xf numFmtId="0" fontId="7" fillId="0" borderId="22" xfId="0" applyFont="1" applyBorder="1" applyAlignment="1" applyProtection="1">
      <alignment horizontal="center" vertical="center"/>
      <protection locked="0"/>
    </xf>
    <xf numFmtId="0" fontId="7" fillId="0" borderId="42" xfId="0" applyFont="1" applyBorder="1" applyAlignment="1" applyProtection="1">
      <alignment horizontal="center" vertical="center"/>
      <protection locked="0"/>
    </xf>
    <xf numFmtId="1" fontId="14" fillId="5" borderId="168" xfId="1" applyNumberFormat="1" applyFont="1" applyFill="1" applyBorder="1" applyAlignment="1" applyProtection="1">
      <alignment horizontal="center" vertical="center"/>
      <protection locked="0"/>
    </xf>
    <xf numFmtId="1" fontId="14" fillId="5" borderId="21" xfId="1" applyNumberFormat="1" applyFont="1" applyFill="1" applyBorder="1" applyAlignment="1" applyProtection="1">
      <alignment horizontal="center" vertical="center"/>
      <protection locked="0"/>
    </xf>
    <xf numFmtId="1" fontId="14" fillId="5" borderId="45" xfId="1" applyNumberFormat="1" applyFont="1" applyFill="1" applyBorder="1" applyAlignment="1" applyProtection="1">
      <alignment horizontal="center" vertical="center"/>
      <protection locked="0"/>
    </xf>
    <xf numFmtId="0" fontId="7" fillId="3" borderId="45" xfId="0" applyFont="1" applyFill="1" applyBorder="1" applyAlignment="1" applyProtection="1">
      <alignment horizontal="center" vertical="center"/>
    </xf>
    <xf numFmtId="0" fontId="12" fillId="10" borderId="0" xfId="0" applyFont="1" applyFill="1" applyBorder="1" applyAlignment="1">
      <alignment horizontal="left" vertical="top" wrapText="1"/>
    </xf>
    <xf numFmtId="0" fontId="8" fillId="0" borderId="29" xfId="0" applyFont="1" applyBorder="1" applyAlignment="1">
      <alignment horizontal="left" vertical="center" wrapText="1"/>
    </xf>
    <xf numFmtId="49" fontId="18" fillId="4" borderId="45"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79" xfId="1" applyNumberFormat="1" applyFont="1" applyFill="1" applyBorder="1" applyAlignment="1">
      <alignment horizontal="center" vertical="center"/>
    </xf>
    <xf numFmtId="49" fontId="18" fillId="4" borderId="170" xfId="1" applyNumberFormat="1" applyFont="1" applyFill="1" applyBorder="1" applyAlignment="1">
      <alignment horizontal="center" vertical="center"/>
    </xf>
    <xf numFmtId="49" fontId="18" fillId="4" borderId="124" xfId="1" applyNumberFormat="1" applyFont="1" applyFill="1" applyBorder="1" applyAlignment="1">
      <alignment horizontal="center" vertical="center"/>
    </xf>
    <xf numFmtId="0" fontId="11" fillId="6" borderId="61" xfId="0" applyFont="1" applyFill="1" applyBorder="1" applyAlignment="1">
      <alignment horizontal="center" vertical="center"/>
    </xf>
    <xf numFmtId="0" fontId="7" fillId="4" borderId="12" xfId="0" applyFont="1" applyFill="1" applyBorder="1" applyAlignment="1" applyProtection="1">
      <alignment horizontal="center" vertical="center"/>
    </xf>
    <xf numFmtId="0" fontId="7" fillId="4" borderId="15" xfId="0" applyFont="1" applyFill="1" applyBorder="1" applyAlignment="1" applyProtection="1">
      <alignment horizontal="center" vertical="center"/>
    </xf>
    <xf numFmtId="0" fontId="10" fillId="4" borderId="73" xfId="0" applyFont="1" applyFill="1" applyBorder="1" applyAlignment="1" applyProtection="1">
      <alignment horizontal="center" vertical="center"/>
    </xf>
    <xf numFmtId="3" fontId="7" fillId="0" borderId="11" xfId="0" applyNumberFormat="1" applyFont="1" applyBorder="1" applyAlignment="1" applyProtection="1">
      <alignment horizontal="center" vertical="center"/>
      <protection locked="0"/>
    </xf>
    <xf numFmtId="0" fontId="10" fillId="4" borderId="72" xfId="0" applyFont="1" applyFill="1" applyBorder="1" applyAlignment="1" applyProtection="1">
      <alignment horizontal="center" vertical="center"/>
    </xf>
    <xf numFmtId="0" fontId="11" fillId="6" borderId="65" xfId="0" applyFont="1" applyFill="1" applyBorder="1" applyAlignment="1">
      <alignment horizontal="center" vertical="center"/>
    </xf>
    <xf numFmtId="0" fontId="11" fillId="6" borderId="174" xfId="0" applyFont="1" applyFill="1" applyBorder="1" applyAlignment="1">
      <alignment horizontal="center" vertical="center"/>
    </xf>
    <xf numFmtId="0" fontId="7" fillId="4" borderId="13" xfId="0" applyFont="1" applyFill="1" applyBorder="1" applyAlignment="1" applyProtection="1">
      <alignment horizontal="center" vertical="center"/>
    </xf>
    <xf numFmtId="49" fontId="18" fillId="4" borderId="48" xfId="1" applyNumberFormat="1" applyFont="1" applyFill="1" applyBorder="1" applyAlignment="1">
      <alignment horizontal="center" vertical="center"/>
    </xf>
    <xf numFmtId="49" fontId="18" fillId="4" borderId="66" xfId="1" applyNumberFormat="1" applyFont="1" applyFill="1" applyBorder="1" applyAlignment="1">
      <alignment horizontal="center" vertical="center"/>
    </xf>
    <xf numFmtId="0" fontId="7" fillId="4" borderId="54" xfId="0" applyFont="1" applyFill="1" applyBorder="1" applyAlignment="1" applyProtection="1">
      <alignment horizontal="center" vertical="center"/>
    </xf>
    <xf numFmtId="0" fontId="7" fillId="4" borderId="169" xfId="0" applyFont="1" applyFill="1" applyBorder="1" applyAlignment="1" applyProtection="1">
      <alignment horizontal="center" vertical="center"/>
    </xf>
    <xf numFmtId="0" fontId="7" fillId="4" borderId="48" xfId="0" applyFont="1" applyFill="1" applyBorder="1" applyAlignment="1" applyProtection="1">
      <alignment horizontal="center" vertical="center"/>
    </xf>
    <xf numFmtId="0" fontId="7" fillId="4" borderId="79" xfId="0" applyFont="1" applyFill="1" applyBorder="1" applyAlignment="1" applyProtection="1">
      <alignment horizontal="center" vertical="center"/>
    </xf>
    <xf numFmtId="0" fontId="7" fillId="4" borderId="170" xfId="0" applyFont="1" applyFill="1" applyBorder="1" applyAlignment="1" applyProtection="1">
      <alignment horizontal="center" vertical="center"/>
    </xf>
    <xf numFmtId="0" fontId="8" fillId="6" borderId="167" xfId="0" applyFont="1" applyFill="1" applyBorder="1" applyAlignment="1">
      <alignment horizontal="center" vertical="center"/>
    </xf>
    <xf numFmtId="1" fontId="8" fillId="6" borderId="64" xfId="0" applyNumberFormat="1" applyFont="1" applyFill="1" applyBorder="1" applyAlignment="1">
      <alignment horizontal="center" vertical="center"/>
    </xf>
    <xf numFmtId="0" fontId="8" fillId="6" borderId="174" xfId="0" applyFont="1" applyFill="1" applyBorder="1" applyAlignment="1">
      <alignment horizontal="center" vertical="center"/>
    </xf>
    <xf numFmtId="0" fontId="8" fillId="5" borderId="175" xfId="0" applyFont="1" applyFill="1" applyBorder="1" applyAlignment="1" applyProtection="1">
      <alignment horizontal="center" vertical="center" wrapText="1"/>
      <protection locked="0"/>
    </xf>
    <xf numFmtId="0" fontId="8" fillId="5" borderId="176" xfId="0" applyFont="1" applyFill="1" applyBorder="1" applyAlignment="1" applyProtection="1">
      <alignment horizontal="center" vertical="center" wrapText="1"/>
      <protection locked="0"/>
    </xf>
    <xf numFmtId="0" fontId="8" fillId="6" borderId="139" xfId="0" applyFont="1" applyFill="1" applyBorder="1" applyAlignment="1" applyProtection="1">
      <alignment horizontal="center" vertical="center" wrapText="1"/>
    </xf>
    <xf numFmtId="49" fontId="8" fillId="6" borderId="77" xfId="0" applyNumberFormat="1" applyFont="1" applyFill="1" applyBorder="1" applyAlignment="1">
      <alignment horizontal="center" vertical="center"/>
    </xf>
    <xf numFmtId="49" fontId="8" fillId="6" borderId="65" xfId="0" applyNumberFormat="1" applyFont="1" applyFill="1" applyBorder="1" applyAlignment="1">
      <alignment horizontal="center" vertical="center"/>
    </xf>
    <xf numFmtId="49" fontId="8" fillId="6" borderId="61" xfId="0" applyNumberFormat="1" applyFont="1" applyFill="1" applyBorder="1" applyAlignment="1">
      <alignment horizontal="center" vertical="center"/>
    </xf>
    <xf numFmtId="49" fontId="8" fillId="6" borderId="64" xfId="0" applyNumberFormat="1" applyFont="1" applyFill="1" applyBorder="1" applyAlignment="1">
      <alignment horizontal="center" vertical="center"/>
    </xf>
    <xf numFmtId="49" fontId="8" fillId="6" borderId="174" xfId="0" applyNumberFormat="1" applyFont="1" applyFill="1" applyBorder="1" applyAlignment="1">
      <alignment horizontal="center" vertical="center"/>
    </xf>
    <xf numFmtId="0" fontId="11" fillId="4" borderId="0" xfId="0" applyFont="1" applyFill="1" applyBorder="1" applyAlignment="1" applyProtection="1">
      <alignment horizontal="center" vertical="center"/>
    </xf>
    <xf numFmtId="0" fontId="11" fillId="4" borderId="66" xfId="0" applyFont="1" applyFill="1" applyBorder="1" applyAlignment="1" applyProtection="1">
      <alignment horizontal="center" vertical="center"/>
    </xf>
    <xf numFmtId="0" fontId="11" fillId="0" borderId="31" xfId="0" applyFont="1" applyBorder="1" applyAlignment="1" applyProtection="1">
      <alignment horizontal="center" vertical="center"/>
      <protection locked="0"/>
    </xf>
    <xf numFmtId="0" fontId="7" fillId="6" borderId="7" xfId="0" applyFont="1" applyFill="1" applyBorder="1" applyAlignment="1" applyProtection="1">
      <alignment horizontal="center" vertical="center"/>
    </xf>
    <xf numFmtId="0" fontId="19" fillId="0" borderId="31" xfId="0" applyFont="1" applyBorder="1" applyAlignment="1" applyProtection="1">
      <alignment horizontal="center" vertical="center"/>
      <protection locked="0"/>
    </xf>
    <xf numFmtId="0" fontId="7" fillId="4" borderId="36" xfId="0" applyFont="1" applyFill="1" applyBorder="1" applyAlignment="1" applyProtection="1">
      <alignment horizontal="center" vertical="center"/>
    </xf>
    <xf numFmtId="0" fontId="8" fillId="6" borderId="23" xfId="0" applyFont="1" applyFill="1" applyBorder="1" applyAlignment="1">
      <alignment horizontal="center" vertical="center"/>
    </xf>
    <xf numFmtId="0" fontId="8" fillId="6" borderId="25" xfId="0" applyFont="1" applyFill="1" applyBorder="1" applyAlignment="1">
      <alignment horizontal="center" vertical="center"/>
    </xf>
    <xf numFmtId="0" fontId="7" fillId="0" borderId="17" xfId="0" applyFont="1" applyBorder="1" applyAlignment="1" applyProtection="1">
      <alignment horizontal="center" vertical="center"/>
      <protection locked="0"/>
    </xf>
    <xf numFmtId="0" fontId="7" fillId="0" borderId="52" xfId="0" applyFont="1" applyBorder="1" applyAlignment="1" applyProtection="1">
      <alignment horizontal="center" vertical="center"/>
      <protection locked="0"/>
    </xf>
    <xf numFmtId="0" fontId="7" fillId="0" borderId="71" xfId="0" applyFont="1" applyBorder="1" applyAlignment="1" applyProtection="1">
      <alignment horizontal="center" vertical="center"/>
      <protection locked="0"/>
    </xf>
    <xf numFmtId="0" fontId="7" fillId="0" borderId="72" xfId="0" applyFont="1" applyBorder="1" applyAlignment="1" applyProtection="1">
      <alignment horizontal="center" vertical="center"/>
      <protection locked="0"/>
    </xf>
    <xf numFmtId="0" fontId="7" fillId="0" borderId="73" xfId="0" applyFont="1" applyBorder="1" applyAlignment="1" applyProtection="1">
      <alignment horizontal="center" vertical="center"/>
      <protection locked="0"/>
    </xf>
    <xf numFmtId="0" fontId="7" fillId="0" borderId="172" xfId="0" applyFont="1" applyBorder="1" applyAlignment="1" applyProtection="1">
      <alignment horizontal="center" vertical="center"/>
      <protection locked="0"/>
    </xf>
    <xf numFmtId="0" fontId="8" fillId="6" borderId="139" xfId="0" applyFont="1" applyFill="1" applyBorder="1" applyAlignment="1">
      <alignment horizontal="center" vertical="center" wrapText="1"/>
    </xf>
    <xf numFmtId="0" fontId="38" fillId="5" borderId="0" xfId="0" applyFont="1" applyFill="1" applyAlignment="1"/>
    <xf numFmtId="0" fontId="38" fillId="5" borderId="0" xfId="0" applyFont="1" applyFill="1" applyAlignment="1">
      <alignment horizontal="left"/>
    </xf>
    <xf numFmtId="0" fontId="29" fillId="5" borderId="1" xfId="0" applyFont="1" applyFill="1" applyBorder="1" applyAlignment="1">
      <alignment vertical="center" wrapText="1"/>
    </xf>
    <xf numFmtId="0" fontId="29" fillId="5" borderId="1" xfId="0" applyFont="1" applyFill="1" applyBorder="1" applyAlignment="1">
      <alignment horizontal="left" vertical="top" wrapText="1"/>
    </xf>
    <xf numFmtId="0" fontId="29" fillId="5" borderId="5" xfId="0" applyFont="1" applyFill="1" applyBorder="1" applyAlignment="1">
      <alignment vertical="center" wrapText="1"/>
    </xf>
    <xf numFmtId="0" fontId="29" fillId="5" borderId="5" xfId="0" applyFont="1" applyFill="1" applyBorder="1" applyAlignment="1">
      <alignment horizontal="left" vertical="top" wrapText="1"/>
    </xf>
    <xf numFmtId="0" fontId="38" fillId="0" borderId="96" xfId="0" applyFont="1" applyBorder="1" applyAlignment="1">
      <alignment horizontal="left" vertical="center" wrapText="1"/>
    </xf>
    <xf numFmtId="0" fontId="38" fillId="5" borderId="88" xfId="0" applyFont="1" applyFill="1" applyBorder="1" applyAlignment="1">
      <alignment wrapText="1"/>
    </xf>
    <xf numFmtId="0" fontId="38" fillId="0" borderId="97" xfId="0" applyFont="1" applyBorder="1" applyAlignment="1">
      <alignment horizontal="left" vertical="center" wrapText="1"/>
    </xf>
    <xf numFmtId="0" fontId="38" fillId="5" borderId="75" xfId="0" applyFont="1" applyFill="1" applyBorder="1" applyAlignment="1">
      <alignment wrapText="1"/>
    </xf>
    <xf numFmtId="0" fontId="38" fillId="0" borderId="98" xfId="0" applyFont="1" applyBorder="1" applyAlignment="1">
      <alignment horizontal="left" vertical="center" wrapText="1"/>
    </xf>
    <xf numFmtId="0" fontId="38" fillId="5" borderId="93" xfId="0" applyFont="1" applyFill="1" applyBorder="1" applyAlignment="1">
      <alignment wrapText="1"/>
    </xf>
    <xf numFmtId="0" fontId="38" fillId="0" borderId="0" xfId="0" applyFont="1"/>
    <xf numFmtId="0" fontId="38" fillId="0" borderId="99" xfId="0" applyFont="1" applyBorder="1" applyAlignment="1">
      <alignment horizontal="left" vertical="center" wrapText="1"/>
    </xf>
    <xf numFmtId="0" fontId="38" fillId="0" borderId="90" xfId="0" applyFont="1" applyBorder="1" applyAlignment="1" applyProtection="1">
      <alignment horizontal="left" vertical="center" wrapText="1"/>
      <protection locked="0"/>
    </xf>
    <xf numFmtId="0" fontId="38" fillId="0" borderId="75" xfId="0" applyFont="1" applyBorder="1" applyAlignment="1" applyProtection="1">
      <alignment horizontal="left" vertical="center" wrapText="1"/>
      <protection locked="0"/>
    </xf>
    <xf numFmtId="0" fontId="38" fillId="0" borderId="93" xfId="0" applyFont="1" applyBorder="1" applyAlignment="1" applyProtection="1">
      <alignment horizontal="left" vertical="center" wrapText="1"/>
      <protection locked="0"/>
    </xf>
    <xf numFmtId="0" fontId="38" fillId="0" borderId="90" xfId="0" applyFont="1" applyBorder="1" applyAlignment="1">
      <alignment horizontal="left" vertical="center" wrapText="1"/>
    </xf>
    <xf numFmtId="0" fontId="38" fillId="0" borderId="93" xfId="0" applyFont="1" applyBorder="1" applyAlignment="1">
      <alignment horizontal="left" vertical="center" wrapText="1"/>
    </xf>
    <xf numFmtId="0" fontId="38" fillId="12" borderId="90" xfId="0" applyFont="1" applyFill="1" applyBorder="1" applyAlignment="1">
      <alignment wrapText="1"/>
    </xf>
    <xf numFmtId="0" fontId="38" fillId="0" borderId="97" xfId="0" applyFont="1" applyBorder="1" applyAlignment="1">
      <alignment vertical="center" wrapText="1"/>
    </xf>
    <xf numFmtId="0" fontId="38" fillId="12" borderId="75" xfId="0" applyFont="1" applyFill="1" applyBorder="1" applyAlignment="1">
      <alignment wrapText="1"/>
    </xf>
    <xf numFmtId="0" fontId="29" fillId="0" borderId="97" xfId="0" applyFont="1" applyBorder="1" applyAlignment="1">
      <alignment horizontal="left" vertical="center" wrapText="1"/>
    </xf>
    <xf numFmtId="0" fontId="38" fillId="12" borderId="93" xfId="0" applyFont="1" applyFill="1" applyBorder="1" applyAlignment="1">
      <alignment wrapText="1"/>
    </xf>
    <xf numFmtId="0" fontId="29" fillId="0" borderId="93" xfId="0" applyFont="1" applyBorder="1" applyAlignment="1">
      <alignment horizontal="left" vertical="center" wrapText="1"/>
    </xf>
    <xf numFmtId="0" fontId="38" fillId="5" borderId="0" xfId="0" applyFont="1" applyFill="1" applyAlignment="1">
      <alignment vertical="center"/>
    </xf>
    <xf numFmtId="0" fontId="38" fillId="12" borderId="93" xfId="0" applyFont="1" applyFill="1" applyBorder="1" applyAlignment="1">
      <alignment vertical="center" wrapText="1"/>
    </xf>
    <xf numFmtId="0" fontId="29" fillId="6" borderId="75" xfId="0" applyFont="1" applyFill="1" applyBorder="1" applyAlignment="1">
      <alignment horizontal="left" vertical="center" wrapText="1"/>
    </xf>
    <xf numFmtId="0" fontId="38" fillId="0" borderId="75" xfId="0" applyFont="1" applyBorder="1" applyAlignment="1">
      <alignment vertical="center" wrapText="1"/>
    </xf>
    <xf numFmtId="49" fontId="38" fillId="6" borderId="75" xfId="0" applyNumberFormat="1" applyFont="1" applyFill="1" applyBorder="1" applyAlignment="1">
      <alignment horizontal="left" vertical="center" wrapText="1"/>
    </xf>
    <xf numFmtId="0" fontId="38" fillId="5" borderId="75" xfId="0" applyFont="1" applyFill="1" applyBorder="1" applyAlignment="1">
      <alignment vertical="center" wrapText="1"/>
    </xf>
    <xf numFmtId="0" fontId="38" fillId="12" borderId="22" xfId="0" applyFont="1" applyFill="1" applyBorder="1" applyAlignment="1">
      <alignment horizontal="left" vertical="center" wrapText="1"/>
    </xf>
    <xf numFmtId="0" fontId="29" fillId="5" borderId="0" xfId="0" applyFont="1" applyFill="1" applyAlignment="1"/>
    <xf numFmtId="0" fontId="38" fillId="12" borderId="75" xfId="0" applyFont="1" applyFill="1" applyBorder="1" applyAlignment="1">
      <alignment horizontal="left" vertical="center" wrapText="1"/>
    </xf>
    <xf numFmtId="0" fontId="29" fillId="12" borderId="75" xfId="0" applyFont="1" applyFill="1" applyBorder="1" applyAlignment="1">
      <alignment wrapText="1"/>
    </xf>
    <xf numFmtId="0" fontId="38" fillId="12" borderId="75" xfId="0" applyFont="1" applyFill="1" applyBorder="1" applyAlignment="1">
      <alignment horizontal="left" wrapText="1"/>
    </xf>
    <xf numFmtId="49" fontId="29" fillId="6" borderId="75" xfId="0" applyNumberFormat="1" applyFont="1" applyFill="1" applyBorder="1" applyAlignment="1">
      <alignment horizontal="left" vertical="center" wrapText="1"/>
    </xf>
    <xf numFmtId="0" fontId="38" fillId="0" borderId="75" xfId="0" applyFont="1" applyFill="1" applyBorder="1" applyAlignment="1">
      <alignment horizontal="left" vertical="center" wrapText="1"/>
    </xf>
    <xf numFmtId="0" fontId="38" fillId="0" borderId="75" xfId="0" applyFont="1" applyFill="1" applyBorder="1" applyAlignment="1">
      <alignment wrapText="1"/>
    </xf>
    <xf numFmtId="0" fontId="38" fillId="0" borderId="0" xfId="0" applyFont="1" applyAlignment="1"/>
    <xf numFmtId="0" fontId="38" fillId="6" borderId="75" xfId="0" applyFont="1" applyFill="1" applyBorder="1" applyAlignment="1">
      <alignment horizontal="left" vertical="center" wrapText="1"/>
    </xf>
    <xf numFmtId="0" fontId="44" fillId="0" borderId="75" xfId="0" applyFont="1" applyBorder="1" applyAlignment="1">
      <alignment horizontal="left" vertical="center" wrapText="1"/>
    </xf>
    <xf numFmtId="0" fontId="38" fillId="0" borderId="75" xfId="0" applyFont="1" applyBorder="1" applyAlignment="1" applyProtection="1">
      <alignment horizontal="left" vertical="center" wrapText="1"/>
    </xf>
    <xf numFmtId="0" fontId="38" fillId="13" borderId="75" xfId="0" applyFont="1" applyFill="1" applyBorder="1" applyAlignment="1">
      <alignment horizontal="left" vertical="center" wrapText="1"/>
    </xf>
    <xf numFmtId="0" fontId="29" fillId="3" borderId="75" xfId="0" applyFont="1" applyFill="1" applyBorder="1" applyAlignment="1">
      <alignment horizontal="left" vertical="center" wrapText="1"/>
    </xf>
    <xf numFmtId="0" fontId="42" fillId="3" borderId="16" xfId="0" applyFont="1" applyFill="1" applyBorder="1" applyAlignment="1">
      <alignment vertical="center"/>
    </xf>
    <xf numFmtId="0" fontId="29" fillId="3" borderId="16" xfId="0" applyFont="1" applyFill="1" applyBorder="1" applyAlignment="1">
      <alignment vertical="center"/>
    </xf>
    <xf numFmtId="0" fontId="42" fillId="0" borderId="0" xfId="0" applyFont="1" applyFill="1" applyBorder="1" applyAlignment="1">
      <alignment vertical="center"/>
    </xf>
    <xf numFmtId="0" fontId="38" fillId="0" borderId="0" xfId="0" applyFont="1" applyFill="1" applyAlignment="1"/>
    <xf numFmtId="49" fontId="46" fillId="0" borderId="0" xfId="1" applyNumberFormat="1" applyFont="1" applyFill="1" applyBorder="1" applyAlignment="1">
      <alignment horizontal="center" vertical="center"/>
    </xf>
    <xf numFmtId="0" fontId="38" fillId="0" borderId="0" xfId="0" applyFont="1" applyFill="1" applyBorder="1" applyAlignment="1" applyProtection="1">
      <alignment horizontal="center" vertical="center"/>
      <protection locked="0"/>
    </xf>
    <xf numFmtId="0" fontId="29" fillId="0" borderId="0" xfId="0" applyFont="1" applyFill="1" applyBorder="1" applyAlignment="1">
      <alignment vertical="top"/>
    </xf>
    <xf numFmtId="0" fontId="42" fillId="0" borderId="0" xfId="0" applyFont="1" applyFill="1" applyBorder="1" applyAlignment="1">
      <alignment horizontal="left" vertical="center"/>
    </xf>
    <xf numFmtId="0" fontId="38" fillId="5" borderId="0" xfId="0" applyFont="1" applyFill="1" applyAlignment="1">
      <alignment vertical="center" wrapText="1"/>
    </xf>
    <xf numFmtId="0" fontId="38" fillId="5" borderId="0" xfId="0" applyFont="1" applyFill="1" applyAlignment="1">
      <alignment vertical="top" wrapText="1"/>
    </xf>
    <xf numFmtId="0" fontId="38" fillId="5" borderId="0" xfId="0" applyFont="1" applyFill="1" applyAlignment="1">
      <alignment horizontal="left" vertical="center"/>
    </xf>
    <xf numFmtId="0" fontId="38" fillId="12" borderId="177" xfId="0" applyFont="1" applyFill="1" applyBorder="1" applyAlignment="1">
      <alignment wrapText="1"/>
    </xf>
    <xf numFmtId="0" fontId="42" fillId="0" borderId="75" xfId="0" applyFont="1" applyFill="1" applyBorder="1" applyAlignment="1">
      <alignment horizontal="left" vertical="center"/>
    </xf>
    <xf numFmtId="0" fontId="25" fillId="6" borderId="53" xfId="2" applyFont="1" applyFill="1" applyBorder="1" applyAlignment="1" applyProtection="1">
      <alignment horizontal="center" vertical="center"/>
    </xf>
    <xf numFmtId="0" fontId="25" fillId="6" borderId="0" xfId="2" applyFont="1" applyFill="1" applyBorder="1" applyAlignment="1" applyProtection="1">
      <alignment horizontal="center" vertical="center"/>
    </xf>
    <xf numFmtId="0" fontId="25" fillId="6" borderId="48" xfId="2" applyFont="1" applyFill="1" applyBorder="1" applyAlignment="1" applyProtection="1">
      <alignment horizontal="center" vertical="center"/>
    </xf>
    <xf numFmtId="0" fontId="25" fillId="6" borderId="66" xfId="2" applyFont="1" applyFill="1" applyBorder="1" applyAlignment="1" applyProtection="1">
      <alignment horizontal="center" vertical="center"/>
    </xf>
    <xf numFmtId="0" fontId="21" fillId="0" borderId="0" xfId="0" applyFont="1" applyBorder="1" applyAlignment="1">
      <alignment horizontal="left" vertical="center" wrapText="1"/>
    </xf>
    <xf numFmtId="0" fontId="7" fillId="4" borderId="63" xfId="0" applyFont="1" applyFill="1" applyBorder="1" applyAlignment="1" applyProtection="1">
      <alignment horizontal="center" vertical="center"/>
    </xf>
    <xf numFmtId="0" fontId="8" fillId="2" borderId="22" xfId="0" applyFont="1" applyFill="1" applyBorder="1" applyAlignment="1">
      <alignment horizontal="left" vertical="top"/>
    </xf>
    <xf numFmtId="0" fontId="10" fillId="0" borderId="0" xfId="0" applyFont="1" applyFill="1" applyBorder="1" applyAlignment="1">
      <alignment horizontal="center"/>
    </xf>
    <xf numFmtId="0" fontId="8" fillId="2" borderId="0" xfId="0" applyFont="1" applyFill="1" applyBorder="1" applyAlignment="1">
      <alignment horizontal="left" vertical="top"/>
    </xf>
    <xf numFmtId="0" fontId="11" fillId="5" borderId="0" xfId="3" applyFont="1" applyFill="1" applyBorder="1" applyAlignment="1">
      <alignment horizontal="left" vertical="center"/>
    </xf>
    <xf numFmtId="0" fontId="7" fillId="0" borderId="178" xfId="0" applyFont="1" applyBorder="1" applyAlignment="1">
      <alignment horizontal="left" vertical="center" wrapText="1"/>
    </xf>
    <xf numFmtId="0" fontId="7" fillId="4" borderId="178" xfId="0" applyFont="1" applyFill="1" applyBorder="1" applyAlignment="1" applyProtection="1">
      <alignment horizontal="center" vertical="center"/>
    </xf>
    <xf numFmtId="0" fontId="8" fillId="0" borderId="170" xfId="0" applyFont="1" applyBorder="1" applyAlignment="1" applyProtection="1">
      <alignment horizontal="left" vertical="center" wrapText="1"/>
      <protection locked="0"/>
    </xf>
    <xf numFmtId="0" fontId="8" fillId="2" borderId="179" xfId="0" applyFont="1" applyFill="1" applyBorder="1" applyAlignment="1">
      <alignment horizontal="left" vertical="center" wrapText="1"/>
    </xf>
    <xf numFmtId="0" fontId="7" fillId="2" borderId="180" xfId="0" applyFont="1" applyFill="1" applyBorder="1" applyAlignment="1">
      <alignment horizontal="left" vertical="center" wrapText="1"/>
    </xf>
    <xf numFmtId="0" fontId="11" fillId="6" borderId="181" xfId="0" applyFont="1" applyFill="1" applyBorder="1" applyAlignment="1">
      <alignment horizontal="center" vertical="center"/>
    </xf>
    <xf numFmtId="0" fontId="8" fillId="6" borderId="182" xfId="0" applyFont="1" applyFill="1" applyBorder="1" applyAlignment="1">
      <alignment horizontal="center" vertical="center"/>
    </xf>
    <xf numFmtId="0" fontId="11" fillId="6" borderId="182" xfId="0" applyFont="1" applyFill="1" applyBorder="1" applyAlignment="1">
      <alignment horizontal="center" vertical="center"/>
    </xf>
    <xf numFmtId="0" fontId="11" fillId="6" borderId="183" xfId="0" applyFont="1" applyFill="1" applyBorder="1" applyAlignment="1">
      <alignment horizontal="center" vertical="center"/>
    </xf>
    <xf numFmtId="0" fontId="8" fillId="0" borderId="67" xfId="0" applyFont="1" applyBorder="1" applyAlignment="1" applyProtection="1">
      <alignment horizontal="center" vertical="center"/>
      <protection locked="0"/>
    </xf>
    <xf numFmtId="0" fontId="38" fillId="0" borderId="75" xfId="0" applyFont="1" applyBorder="1" applyAlignment="1">
      <alignment horizontal="left" vertical="center" wrapText="1"/>
    </xf>
    <xf numFmtId="0" fontId="38" fillId="5" borderId="75" xfId="0" applyFont="1" applyFill="1" applyBorder="1" applyAlignment="1">
      <alignment horizontal="left" vertical="center" wrapText="1"/>
    </xf>
    <xf numFmtId="49" fontId="14" fillId="4" borderId="9" xfId="1" applyNumberFormat="1" applyFont="1" applyFill="1" applyBorder="1" applyAlignment="1">
      <alignment horizontal="center" vertical="center"/>
    </xf>
    <xf numFmtId="0" fontId="7" fillId="2" borderId="22" xfId="0" applyFont="1" applyFill="1" applyBorder="1" applyAlignment="1">
      <alignment horizontal="left" vertical="top"/>
    </xf>
    <xf numFmtId="0" fontId="8" fillId="6" borderId="139" xfId="0" applyFont="1" applyFill="1" applyBorder="1" applyAlignment="1">
      <alignment horizontal="center" vertical="center"/>
    </xf>
    <xf numFmtId="0" fontId="11" fillId="4" borderId="192" xfId="0" applyFont="1" applyFill="1" applyBorder="1" applyAlignment="1" applyProtection="1">
      <alignment horizontal="center" vertical="center"/>
    </xf>
    <xf numFmtId="0" fontId="8" fillId="0" borderId="190" xfId="0" applyFont="1" applyBorder="1" applyAlignment="1" applyProtection="1">
      <alignment horizontal="center" vertical="center"/>
      <protection locked="0"/>
    </xf>
    <xf numFmtId="0" fontId="8" fillId="6" borderId="178" xfId="0" applyFont="1" applyFill="1" applyBorder="1" applyAlignment="1">
      <alignment horizontal="center" vertical="center"/>
    </xf>
    <xf numFmtId="49" fontId="18" fillId="4" borderId="26" xfId="1" applyNumberFormat="1" applyFont="1" applyFill="1" applyBorder="1" applyAlignment="1">
      <alignment horizontal="center" vertical="center"/>
    </xf>
    <xf numFmtId="1" fontId="8" fillId="6" borderId="37" xfId="0" applyNumberFormat="1" applyFont="1" applyFill="1" applyBorder="1" applyAlignment="1" applyProtection="1">
      <alignment horizontal="center" vertical="center"/>
    </xf>
    <xf numFmtId="0" fontId="7" fillId="4" borderId="194" xfId="0" applyFont="1" applyFill="1" applyBorder="1" applyAlignment="1" applyProtection="1">
      <alignment horizontal="center" vertical="center"/>
    </xf>
    <xf numFmtId="0" fontId="7" fillId="4" borderId="195" xfId="0" applyFont="1" applyFill="1" applyBorder="1" applyAlignment="1" applyProtection="1">
      <alignment horizontal="center" vertical="center"/>
    </xf>
    <xf numFmtId="0" fontId="7" fillId="4" borderId="34" xfId="0" applyFont="1" applyFill="1" applyBorder="1" applyAlignment="1" applyProtection="1">
      <alignment horizontal="center" vertical="center"/>
    </xf>
    <xf numFmtId="0" fontId="7" fillId="0" borderId="64" xfId="0" applyFont="1" applyBorder="1" applyAlignment="1" applyProtection="1">
      <alignment horizontal="center" vertical="center"/>
      <protection locked="0"/>
    </xf>
    <xf numFmtId="0" fontId="7" fillId="0" borderId="61" xfId="0" applyFont="1" applyBorder="1" applyAlignment="1" applyProtection="1">
      <alignment horizontal="center" vertical="center"/>
      <protection locked="0"/>
    </xf>
    <xf numFmtId="0" fontId="7" fillId="0" borderId="0" xfId="0" applyFont="1" applyBorder="1" applyAlignment="1">
      <alignment horizontal="left" vertical="center" wrapText="1"/>
    </xf>
    <xf numFmtId="0" fontId="38" fillId="5" borderId="177" xfId="0" applyFont="1" applyFill="1" applyBorder="1" applyAlignment="1">
      <alignment wrapText="1"/>
    </xf>
    <xf numFmtId="0" fontId="38" fillId="5" borderId="196" xfId="0" applyFont="1" applyFill="1" applyBorder="1" applyAlignment="1">
      <alignment vertical="top" wrapText="1"/>
    </xf>
    <xf numFmtId="0" fontId="38" fillId="5" borderId="88" xfId="0" applyFont="1" applyFill="1" applyBorder="1" applyAlignment="1">
      <alignment horizontal="left" vertical="center" wrapText="1"/>
    </xf>
    <xf numFmtId="0" fontId="7" fillId="0" borderId="177" xfId="0" applyFont="1" applyBorder="1" applyAlignment="1">
      <alignment horizontal="left" vertical="center" wrapText="1"/>
    </xf>
    <xf numFmtId="0" fontId="7" fillId="0" borderId="196" xfId="0" applyFont="1" applyBorder="1" applyAlignment="1">
      <alignment horizontal="left" vertical="center" wrapText="1"/>
    </xf>
    <xf numFmtId="0" fontId="7" fillId="0" borderId="197" xfId="0" applyFont="1" applyBorder="1" applyAlignment="1">
      <alignment horizontal="left" vertical="center" wrapText="1"/>
    </xf>
    <xf numFmtId="0" fontId="38" fillId="12" borderId="198" xfId="0" applyFont="1" applyFill="1" applyBorder="1" applyAlignment="1">
      <alignment wrapText="1"/>
    </xf>
    <xf numFmtId="0" fontId="7" fillId="0" borderId="12"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7" fillId="0" borderId="36" xfId="0" applyFont="1" applyBorder="1" applyAlignment="1" applyProtection="1">
      <alignment horizontal="center" vertical="center"/>
      <protection locked="0"/>
    </xf>
    <xf numFmtId="0" fontId="7" fillId="4" borderId="199" xfId="0" applyFont="1" applyFill="1" applyBorder="1" applyAlignment="1" applyProtection="1">
      <alignment horizontal="center" vertical="center"/>
    </xf>
    <xf numFmtId="0" fontId="7" fillId="4" borderId="172" xfId="0" applyFont="1" applyFill="1" applyBorder="1" applyAlignment="1" applyProtection="1">
      <alignment horizontal="center" vertical="center"/>
    </xf>
    <xf numFmtId="0" fontId="7" fillId="0" borderId="86" xfId="0" applyFont="1" applyBorder="1" applyAlignment="1" applyProtection="1">
      <alignment horizontal="center" vertical="center"/>
      <protection locked="0"/>
    </xf>
    <xf numFmtId="0" fontId="7" fillId="0" borderId="90" xfId="0" applyFont="1" applyBorder="1" applyAlignment="1">
      <alignment horizontal="left" vertical="center" wrapText="1"/>
    </xf>
    <xf numFmtId="0" fontId="7" fillId="0" borderId="200" xfId="0" applyFont="1" applyBorder="1" applyAlignment="1" applyProtection="1">
      <alignment horizontal="center" vertical="center"/>
      <protection locked="0"/>
    </xf>
    <xf numFmtId="0" fontId="7" fillId="0" borderId="201" xfId="0" applyFont="1" applyBorder="1" applyAlignment="1" applyProtection="1">
      <alignment horizontal="center" vertical="center"/>
      <protection locked="0"/>
    </xf>
    <xf numFmtId="0" fontId="7" fillId="0" borderId="170" xfId="0" applyFont="1" applyBorder="1" applyAlignment="1">
      <alignment horizontal="left" vertical="center" wrapText="1"/>
    </xf>
    <xf numFmtId="0" fontId="25" fillId="6" borderId="194" xfId="2" applyFont="1" applyFill="1" applyBorder="1" applyAlignment="1" applyProtection="1">
      <alignment horizontal="center" vertical="center"/>
    </xf>
    <xf numFmtId="0" fontId="25" fillId="6" borderId="8" xfId="2" applyFont="1" applyFill="1" applyBorder="1" applyAlignment="1" applyProtection="1">
      <alignment horizontal="center" vertical="center"/>
    </xf>
    <xf numFmtId="0" fontId="25" fillId="6" borderId="26" xfId="2" applyFont="1" applyFill="1" applyBorder="1" applyAlignment="1" applyProtection="1">
      <alignment horizontal="center" vertical="center"/>
    </xf>
    <xf numFmtId="0" fontId="8" fillId="6" borderId="202" xfId="0" applyFont="1" applyFill="1" applyBorder="1" applyAlignment="1">
      <alignment horizontal="center" vertical="center"/>
    </xf>
    <xf numFmtId="0" fontId="25" fillId="6" borderId="35" xfId="2" applyFont="1" applyFill="1" applyBorder="1" applyAlignment="1" applyProtection="1">
      <alignment horizontal="center" vertical="center"/>
    </xf>
    <xf numFmtId="0" fontId="8" fillId="6" borderId="36" xfId="0" applyFont="1" applyFill="1" applyBorder="1" applyAlignment="1">
      <alignment horizontal="center" vertical="center"/>
    </xf>
    <xf numFmtId="0" fontId="7" fillId="0" borderId="51" xfId="0" applyFont="1" applyBorder="1" applyAlignment="1" applyProtection="1">
      <alignment horizontal="center" vertical="center"/>
      <protection locked="0"/>
    </xf>
    <xf numFmtId="0" fontId="8" fillId="6" borderId="203" xfId="0" applyFont="1" applyFill="1" applyBorder="1" applyAlignment="1">
      <alignment horizontal="center" vertical="center"/>
    </xf>
    <xf numFmtId="0" fontId="8" fillId="6" borderId="19" xfId="0" applyFont="1" applyFill="1" applyBorder="1" applyAlignment="1">
      <alignment horizontal="center" vertical="center"/>
    </xf>
    <xf numFmtId="0" fontId="8" fillId="6" borderId="204" xfId="0" applyFont="1" applyFill="1" applyBorder="1" applyAlignment="1">
      <alignment horizontal="center" vertical="center"/>
    </xf>
    <xf numFmtId="0" fontId="7" fillId="0" borderId="169" xfId="0" applyFont="1" applyBorder="1" applyAlignment="1">
      <alignment horizontal="left" vertical="center" wrapText="1"/>
    </xf>
    <xf numFmtId="0" fontId="7" fillId="0" borderId="33" xfId="0" applyFont="1" applyBorder="1" applyAlignment="1" applyProtection="1">
      <alignment horizontal="center" vertical="center"/>
      <protection locked="0"/>
    </xf>
    <xf numFmtId="0" fontId="8" fillId="6" borderId="205" xfId="0" applyFont="1" applyFill="1" applyBorder="1" applyAlignment="1">
      <alignment horizontal="center" vertical="center"/>
    </xf>
    <xf numFmtId="0" fontId="7" fillId="0" borderId="169" xfId="0" applyFont="1" applyBorder="1" applyAlignment="1" applyProtection="1">
      <alignment horizontal="center" vertical="center"/>
      <protection locked="0"/>
    </xf>
    <xf numFmtId="0" fontId="7" fillId="0" borderId="166" xfId="0" applyFont="1" applyBorder="1" applyAlignment="1" applyProtection="1">
      <alignment horizontal="center" vertical="center"/>
      <protection locked="0"/>
    </xf>
    <xf numFmtId="0" fontId="8" fillId="6" borderId="173" xfId="0" applyFont="1" applyFill="1" applyBorder="1" applyAlignment="1">
      <alignment horizontal="center" vertical="center"/>
    </xf>
    <xf numFmtId="0" fontId="7" fillId="0" borderId="195" xfId="0" applyFont="1" applyBorder="1" applyAlignment="1" applyProtection="1">
      <alignment horizontal="center" vertical="center"/>
      <protection locked="0"/>
    </xf>
    <xf numFmtId="0" fontId="7" fillId="0" borderId="43" xfId="0" applyFont="1" applyBorder="1" applyAlignment="1" applyProtection="1">
      <alignment horizontal="center" vertical="center"/>
      <protection locked="0"/>
    </xf>
    <xf numFmtId="0" fontId="25" fillId="6" borderId="39" xfId="2" applyFont="1" applyFill="1" applyBorder="1" applyAlignment="1" applyProtection="1">
      <alignment horizontal="center" vertical="center"/>
    </xf>
    <xf numFmtId="0" fontId="25" fillId="6" borderId="18" xfId="2" applyFont="1" applyFill="1" applyBorder="1" applyAlignment="1" applyProtection="1">
      <alignment horizontal="center" vertical="center"/>
    </xf>
    <xf numFmtId="0" fontId="25" fillId="6" borderId="51" xfId="2" applyFont="1" applyFill="1" applyBorder="1" applyAlignment="1" applyProtection="1">
      <alignment horizontal="center" vertical="center"/>
    </xf>
    <xf numFmtId="0" fontId="25" fillId="6" borderId="19" xfId="2" applyFont="1" applyFill="1" applyBorder="1" applyAlignment="1" applyProtection="1">
      <alignment horizontal="center" vertical="center"/>
    </xf>
    <xf numFmtId="49" fontId="8" fillId="5" borderId="169" xfId="0" applyNumberFormat="1" applyFont="1" applyFill="1" applyBorder="1" applyAlignment="1">
      <alignment horizontal="left" vertical="center" wrapText="1"/>
    </xf>
    <xf numFmtId="0" fontId="7" fillId="4" borderId="206" xfId="0" applyFont="1" applyFill="1" applyBorder="1" applyAlignment="1" applyProtection="1">
      <alignment horizontal="center" vertical="center"/>
    </xf>
    <xf numFmtId="0" fontId="7" fillId="4" borderId="207" xfId="0" applyFont="1" applyFill="1" applyBorder="1" applyAlignment="1" applyProtection="1">
      <alignment horizontal="center" vertical="center"/>
    </xf>
    <xf numFmtId="0" fontId="7" fillId="0" borderId="208" xfId="0" applyFont="1" applyBorder="1" applyAlignment="1" applyProtection="1">
      <alignment horizontal="center" vertical="center"/>
      <protection locked="0"/>
    </xf>
    <xf numFmtId="1" fontId="8" fillId="6" borderId="63" xfId="0" applyNumberFormat="1" applyFont="1" applyFill="1" applyBorder="1" applyAlignment="1" applyProtection="1">
      <alignment horizontal="center" vertical="center"/>
    </xf>
    <xf numFmtId="0" fontId="7" fillId="2" borderId="22" xfId="0" applyFont="1" applyFill="1" applyBorder="1" applyAlignment="1">
      <alignment horizontal="left" vertical="top"/>
    </xf>
    <xf numFmtId="0" fontId="7" fillId="0" borderId="28" xfId="0" applyFont="1" applyBorder="1" applyAlignment="1">
      <alignment horizontal="left" vertical="center"/>
    </xf>
    <xf numFmtId="0" fontId="7" fillId="0" borderId="27" xfId="0" applyFont="1" applyBorder="1" applyAlignment="1">
      <alignment horizontal="left" vertical="center"/>
    </xf>
    <xf numFmtId="0" fontId="8" fillId="2" borderId="22" xfId="0" applyFont="1" applyFill="1" applyBorder="1" applyAlignment="1">
      <alignment horizontal="left" vertical="top"/>
    </xf>
    <xf numFmtId="0" fontId="7" fillId="5" borderId="180" xfId="0" applyFont="1" applyFill="1" applyBorder="1" applyAlignment="1">
      <alignment horizontal="left" vertical="center" wrapText="1"/>
    </xf>
    <xf numFmtId="0" fontId="8" fillId="0" borderId="209" xfId="0" applyFont="1" applyBorder="1" applyAlignment="1" applyProtection="1">
      <alignment horizontal="center" vertical="center"/>
      <protection locked="0"/>
    </xf>
    <xf numFmtId="0" fontId="7" fillId="2" borderId="22" xfId="0" applyFont="1" applyFill="1" applyBorder="1" applyAlignment="1">
      <alignment horizontal="left" vertical="top"/>
    </xf>
    <xf numFmtId="0" fontId="9" fillId="5" borderId="78" xfId="0" applyFont="1" applyFill="1" applyBorder="1" applyAlignment="1" applyProtection="1">
      <alignment horizontal="center" vertical="center"/>
      <protection locked="0"/>
    </xf>
    <xf numFmtId="0" fontId="8" fillId="0" borderId="210" xfId="0" applyFont="1" applyBorder="1" applyAlignment="1" applyProtection="1">
      <alignment horizontal="center" vertical="center"/>
      <protection locked="0"/>
    </xf>
    <xf numFmtId="0" fontId="8" fillId="0" borderId="68" xfId="0" applyFont="1" applyBorder="1" applyAlignment="1" applyProtection="1">
      <alignment horizontal="center" vertical="center"/>
      <protection locked="0"/>
    </xf>
    <xf numFmtId="0" fontId="8" fillId="0" borderId="211" xfId="0" applyFont="1" applyBorder="1" applyAlignment="1" applyProtection="1">
      <alignment horizontal="center" vertical="center"/>
      <protection locked="0"/>
    </xf>
    <xf numFmtId="0" fontId="9" fillId="5" borderId="69" xfId="0" applyFont="1" applyFill="1" applyBorder="1" applyAlignment="1" applyProtection="1">
      <alignment horizontal="center" vertical="center"/>
      <protection locked="0"/>
    </xf>
    <xf numFmtId="0" fontId="7" fillId="4" borderId="59" xfId="0" applyFont="1" applyFill="1" applyBorder="1" applyAlignment="1">
      <alignment vertical="center"/>
    </xf>
    <xf numFmtId="0" fontId="16" fillId="4" borderId="49" xfId="0" applyFont="1" applyFill="1" applyBorder="1" applyAlignment="1">
      <alignment vertical="center"/>
    </xf>
    <xf numFmtId="0" fontId="16" fillId="4" borderId="60" xfId="0" applyFont="1" applyFill="1" applyBorder="1" applyAlignment="1">
      <alignment vertical="center"/>
    </xf>
    <xf numFmtId="0" fontId="16" fillId="4" borderId="59" xfId="0" applyFont="1" applyFill="1" applyBorder="1" applyAlignment="1">
      <alignment vertical="center"/>
    </xf>
    <xf numFmtId="0" fontId="7" fillId="4" borderId="23" xfId="0" applyFont="1" applyFill="1" applyBorder="1" applyAlignment="1">
      <alignment vertical="center"/>
    </xf>
    <xf numFmtId="0" fontId="7" fillId="4" borderId="24" xfId="0" applyFont="1" applyFill="1" applyBorder="1" applyAlignment="1">
      <alignment vertical="center"/>
    </xf>
    <xf numFmtId="0" fontId="7" fillId="4" borderId="25" xfId="0" applyFont="1" applyFill="1" applyBorder="1" applyAlignment="1">
      <alignment vertical="center"/>
    </xf>
    <xf numFmtId="0" fontId="7" fillId="4" borderId="49" xfId="0" applyFont="1" applyFill="1" applyBorder="1" applyAlignment="1">
      <alignment vertical="center"/>
    </xf>
    <xf numFmtId="0" fontId="7" fillId="4" borderId="56" xfId="0" applyFont="1" applyFill="1" applyBorder="1" applyAlignment="1">
      <alignment vertical="center"/>
    </xf>
    <xf numFmtId="0" fontId="7" fillId="4" borderId="57" xfId="0" applyFont="1" applyFill="1" applyBorder="1" applyAlignment="1">
      <alignment vertical="center"/>
    </xf>
    <xf numFmtId="0" fontId="7" fillId="4" borderId="193" xfId="0" applyFont="1" applyFill="1" applyBorder="1" applyAlignment="1">
      <alignment vertical="center"/>
    </xf>
    <xf numFmtId="0" fontId="7" fillId="4" borderId="58" xfId="0" applyFont="1" applyFill="1" applyBorder="1" applyAlignment="1">
      <alignment vertical="center"/>
    </xf>
    <xf numFmtId="0" fontId="7" fillId="4" borderId="62" xfId="0" applyFont="1" applyFill="1" applyBorder="1" applyAlignment="1">
      <alignment vertical="center"/>
    </xf>
    <xf numFmtId="0" fontId="16" fillId="4" borderId="57" xfId="0" applyFont="1" applyFill="1" applyBorder="1" applyAlignment="1">
      <alignment vertical="center"/>
    </xf>
    <xf numFmtId="0" fontId="16" fillId="4" borderId="58" xfId="0" applyFont="1" applyFill="1" applyBorder="1" applyAlignment="1">
      <alignment vertical="center"/>
    </xf>
    <xf numFmtId="0" fontId="7" fillId="4" borderId="60" xfId="0" applyFont="1" applyFill="1" applyBorder="1" applyAlignment="1">
      <alignment vertical="center"/>
    </xf>
    <xf numFmtId="0" fontId="7" fillId="4" borderId="27" xfId="0" applyFont="1" applyFill="1" applyBorder="1" applyAlignment="1">
      <alignment vertical="center"/>
    </xf>
    <xf numFmtId="0" fontId="7" fillId="4" borderId="28" xfId="0" applyFont="1" applyFill="1" applyBorder="1" applyAlignment="1">
      <alignment vertical="center"/>
    </xf>
    <xf numFmtId="0" fontId="7" fillId="4" borderId="50" xfId="0" applyFont="1" applyFill="1" applyBorder="1" applyAlignment="1">
      <alignment vertical="center"/>
    </xf>
    <xf numFmtId="0" fontId="7" fillId="4" borderId="54" xfId="0" applyFont="1" applyFill="1" applyBorder="1" applyAlignment="1">
      <alignment vertical="center"/>
    </xf>
    <xf numFmtId="0" fontId="7" fillId="4" borderId="29" xfId="0" applyFont="1" applyFill="1" applyBorder="1" applyAlignment="1">
      <alignment vertical="center"/>
    </xf>
    <xf numFmtId="0" fontId="18" fillId="4" borderId="23" xfId="0" applyFont="1" applyFill="1" applyBorder="1" applyAlignment="1">
      <alignment vertical="center"/>
    </xf>
    <xf numFmtId="0" fontId="18" fillId="4" borderId="25" xfId="0" applyFont="1" applyFill="1" applyBorder="1" applyAlignment="1">
      <alignment vertical="center"/>
    </xf>
    <xf numFmtId="0" fontId="18" fillId="4" borderId="40" xfId="0" applyFont="1" applyFill="1" applyBorder="1" applyAlignment="1">
      <alignment vertical="center"/>
    </xf>
    <xf numFmtId="0" fontId="7" fillId="4" borderId="40" xfId="0" applyFont="1" applyFill="1" applyBorder="1" applyAlignment="1">
      <alignment vertical="center"/>
    </xf>
    <xf numFmtId="0" fontId="7" fillId="4" borderId="10" xfId="0" applyFont="1" applyFill="1" applyBorder="1" applyAlignment="1">
      <alignment vertical="center"/>
    </xf>
    <xf numFmtId="0" fontId="27" fillId="3" borderId="25" xfId="0" applyFont="1" applyFill="1" applyBorder="1" applyAlignment="1">
      <alignment vertical="center"/>
    </xf>
    <xf numFmtId="0" fontId="16" fillId="4" borderId="23" xfId="0" applyFont="1" applyFill="1" applyBorder="1" applyAlignment="1">
      <alignment vertical="center"/>
    </xf>
    <xf numFmtId="0" fontId="8" fillId="2" borderId="22" xfId="0" applyFont="1" applyFill="1" applyBorder="1" applyAlignment="1">
      <alignment horizontal="left" vertical="top"/>
    </xf>
    <xf numFmtId="0" fontId="7" fillId="4" borderId="25" xfId="0" applyFont="1" applyFill="1" applyBorder="1" applyAlignment="1">
      <alignment vertical="center"/>
    </xf>
    <xf numFmtId="0" fontId="7" fillId="4" borderId="41" xfId="0" applyFont="1" applyFill="1" applyBorder="1" applyAlignment="1">
      <alignment vertical="center"/>
    </xf>
    <xf numFmtId="0" fontId="7" fillId="2" borderId="22" xfId="0" applyFont="1" applyFill="1" applyBorder="1" applyAlignment="1">
      <alignment horizontal="left" vertical="top"/>
    </xf>
    <xf numFmtId="0" fontId="7" fillId="4" borderId="23" xfId="0" applyFont="1" applyFill="1" applyBorder="1" applyAlignment="1">
      <alignment vertical="center"/>
    </xf>
    <xf numFmtId="0" fontId="7" fillId="4" borderId="41" xfId="0" applyFont="1" applyFill="1" applyBorder="1" applyAlignment="1">
      <alignment vertical="center"/>
    </xf>
    <xf numFmtId="0" fontId="8" fillId="8" borderId="48" xfId="0" applyFont="1" applyFill="1" applyBorder="1" applyAlignment="1">
      <alignment horizontal="center" vertical="center" wrapText="1"/>
    </xf>
    <xf numFmtId="0" fontId="7" fillId="4" borderId="25" xfId="0" applyFont="1" applyFill="1" applyBorder="1" applyAlignment="1">
      <alignment vertical="center"/>
    </xf>
    <xf numFmtId="0" fontId="7" fillId="2" borderId="22" xfId="0" applyFont="1" applyFill="1" applyBorder="1" applyAlignment="1">
      <alignment horizontal="left" vertical="top"/>
    </xf>
    <xf numFmtId="0" fontId="7" fillId="4" borderId="27" xfId="0" applyFont="1" applyFill="1" applyBorder="1" applyAlignment="1">
      <alignment vertical="center"/>
    </xf>
    <xf numFmtId="0" fontId="7" fillId="4" borderId="29" xfId="0" applyFont="1" applyFill="1" applyBorder="1" applyAlignment="1">
      <alignment vertical="center"/>
    </xf>
    <xf numFmtId="0" fontId="7" fillId="4" borderId="40" xfId="0" applyFont="1" applyFill="1" applyBorder="1" applyAlignment="1">
      <alignment vertical="center"/>
    </xf>
    <xf numFmtId="0" fontId="8" fillId="6" borderId="23" xfId="0" applyFont="1" applyFill="1" applyBorder="1" applyAlignment="1">
      <alignment horizontal="center" vertical="center" wrapText="1"/>
    </xf>
    <xf numFmtId="0" fontId="8" fillId="6" borderId="24" xfId="0" applyFont="1" applyFill="1" applyBorder="1" applyAlignment="1">
      <alignment horizontal="center" vertical="center" wrapText="1"/>
    </xf>
    <xf numFmtId="0" fontId="8" fillId="6" borderId="25" xfId="0" applyFont="1" applyFill="1" applyBorder="1" applyAlignment="1">
      <alignment horizontal="center" vertical="center" wrapText="1"/>
    </xf>
    <xf numFmtId="0" fontId="8" fillId="6" borderId="24" xfId="0" applyFont="1" applyFill="1" applyBorder="1" applyAlignment="1">
      <alignment horizontal="center" vertical="center"/>
    </xf>
    <xf numFmtId="0" fontId="7" fillId="2" borderId="20" xfId="0" applyFont="1" applyFill="1" applyBorder="1" applyAlignment="1" applyProtection="1">
      <alignment horizontal="center" vertical="center"/>
    </xf>
    <xf numFmtId="0" fontId="7" fillId="2" borderId="21" xfId="0" applyFont="1" applyFill="1" applyBorder="1" applyAlignment="1" applyProtection="1">
      <alignment horizontal="center" vertical="center"/>
    </xf>
    <xf numFmtId="0" fontId="7" fillId="2" borderId="45" xfId="0" applyFont="1" applyFill="1" applyBorder="1" applyAlignment="1" applyProtection="1">
      <alignment horizontal="center" vertical="center"/>
    </xf>
    <xf numFmtId="0" fontId="7" fillId="2" borderId="168" xfId="0" applyFont="1" applyFill="1" applyBorder="1" applyAlignment="1" applyProtection="1">
      <alignment horizontal="center" vertical="center"/>
    </xf>
    <xf numFmtId="0" fontId="7" fillId="2" borderId="37" xfId="0" applyFont="1" applyFill="1" applyBorder="1" applyAlignment="1" applyProtection="1">
      <alignment horizontal="center" vertical="center"/>
    </xf>
    <xf numFmtId="0" fontId="7" fillId="2" borderId="7" xfId="0" applyFont="1" applyFill="1" applyBorder="1" applyAlignment="1" applyProtection="1">
      <alignment horizontal="center" vertical="center"/>
    </xf>
    <xf numFmtId="0" fontId="7" fillId="2" borderId="31" xfId="0" applyFont="1" applyFill="1" applyBorder="1" applyAlignment="1" applyProtection="1">
      <alignment horizontal="center" vertical="center"/>
    </xf>
    <xf numFmtId="0" fontId="7" fillId="2" borderId="30" xfId="0" applyFont="1" applyFill="1" applyBorder="1" applyAlignment="1" applyProtection="1">
      <alignment horizontal="center" vertical="center"/>
    </xf>
    <xf numFmtId="0" fontId="8" fillId="6" borderId="67" xfId="0" applyFont="1" applyFill="1" applyBorder="1" applyAlignment="1">
      <alignment horizontal="center" vertical="center"/>
    </xf>
    <xf numFmtId="0" fontId="8" fillId="6" borderId="70" xfId="0" applyFont="1" applyFill="1" applyBorder="1" applyAlignment="1">
      <alignment horizontal="center" vertical="center"/>
    </xf>
    <xf numFmtId="49" fontId="18" fillId="4" borderId="73" xfId="1" applyNumberFormat="1" applyFont="1" applyFill="1" applyBorder="1" applyAlignment="1">
      <alignment horizontal="center" vertical="center"/>
    </xf>
    <xf numFmtId="49" fontId="18" fillId="4" borderId="15" xfId="1" applyNumberFormat="1" applyFont="1" applyFill="1" applyBorder="1" applyAlignment="1">
      <alignment horizontal="center" vertical="center"/>
    </xf>
    <xf numFmtId="0" fontId="16" fillId="0" borderId="22" xfId="0" applyFont="1" applyBorder="1" applyAlignment="1">
      <alignment horizontal="left" vertical="center" wrapText="1"/>
    </xf>
    <xf numFmtId="0" fontId="16" fillId="4" borderId="24" xfId="0" applyFont="1" applyFill="1" applyBorder="1" applyAlignment="1">
      <alignment vertical="center"/>
    </xf>
    <xf numFmtId="0" fontId="8" fillId="0" borderId="42" xfId="0" applyFont="1" applyBorder="1" applyAlignment="1">
      <alignment horizontal="left" vertical="center" wrapText="1"/>
    </xf>
    <xf numFmtId="0" fontId="7" fillId="0" borderId="214" xfId="0" applyFont="1" applyBorder="1" applyAlignment="1">
      <alignment horizontal="left" vertical="center" wrapText="1"/>
    </xf>
    <xf numFmtId="0" fontId="16" fillId="4" borderId="215" xfId="0" applyFont="1" applyFill="1" applyBorder="1" applyAlignment="1">
      <alignment vertical="center"/>
    </xf>
    <xf numFmtId="0" fontId="7" fillId="4" borderId="216" xfId="0" applyFont="1" applyFill="1" applyBorder="1" applyAlignment="1">
      <alignment vertical="center"/>
    </xf>
    <xf numFmtId="0" fontId="10" fillId="4" borderId="35" xfId="0" applyFont="1" applyFill="1" applyBorder="1" applyAlignment="1" applyProtection="1">
      <alignment horizontal="center" vertical="center"/>
    </xf>
    <xf numFmtId="0" fontId="10" fillId="4" borderId="8" xfId="0" applyFont="1" applyFill="1" applyBorder="1" applyAlignment="1" applyProtection="1">
      <alignment horizontal="center" vertical="center"/>
    </xf>
    <xf numFmtId="0" fontId="11" fillId="0" borderId="8" xfId="0" applyFont="1" applyBorder="1" applyAlignment="1" applyProtection="1">
      <alignment horizontal="center" vertical="center"/>
      <protection locked="0"/>
    </xf>
    <xf numFmtId="0" fontId="7" fillId="0" borderId="209" xfId="0" applyFont="1" applyBorder="1" applyAlignment="1" applyProtection="1">
      <alignment horizontal="center" vertical="center"/>
      <protection locked="0"/>
    </xf>
    <xf numFmtId="0" fontId="7" fillId="0" borderId="217" xfId="0" applyFont="1" applyBorder="1" applyAlignment="1" applyProtection="1">
      <alignment horizontal="center" vertical="center"/>
      <protection locked="0"/>
    </xf>
    <xf numFmtId="0" fontId="7" fillId="0" borderId="210" xfId="0" applyFont="1" applyBorder="1" applyAlignment="1" applyProtection="1">
      <alignment horizontal="center" vertical="center"/>
      <protection locked="0"/>
    </xf>
    <xf numFmtId="0" fontId="7" fillId="0" borderId="68" xfId="0" applyFont="1" applyBorder="1" applyAlignment="1" applyProtection="1">
      <alignment horizontal="center" vertical="center"/>
      <protection locked="0"/>
    </xf>
    <xf numFmtId="0" fontId="10" fillId="4" borderId="219" xfId="0" applyFont="1" applyFill="1" applyBorder="1" applyAlignment="1" applyProtection="1">
      <alignment horizontal="center" vertical="center"/>
    </xf>
    <xf numFmtId="0" fontId="10" fillId="4" borderId="179" xfId="0" applyFont="1" applyFill="1" applyBorder="1" applyAlignment="1" applyProtection="1">
      <alignment horizontal="center" vertical="center"/>
    </xf>
    <xf numFmtId="0" fontId="7" fillId="4" borderId="220" xfId="0" applyFont="1" applyFill="1" applyBorder="1" applyAlignment="1" applyProtection="1">
      <alignment horizontal="center" vertical="center"/>
    </xf>
    <xf numFmtId="0" fontId="7" fillId="4" borderId="222" xfId="0" applyFont="1" applyFill="1" applyBorder="1" applyAlignment="1">
      <alignment vertical="center"/>
    </xf>
    <xf numFmtId="0" fontId="8" fillId="6" borderId="53" xfId="0" applyFont="1" applyFill="1" applyBorder="1" applyAlignment="1">
      <alignment horizontal="center" vertical="center"/>
    </xf>
    <xf numFmtId="0" fontId="11" fillId="6" borderId="42" xfId="0" applyFont="1" applyFill="1" applyBorder="1" applyAlignment="1">
      <alignment horizontal="center" vertical="center"/>
    </xf>
    <xf numFmtId="0" fontId="11" fillId="6" borderId="52" xfId="0" applyFont="1" applyFill="1" applyBorder="1" applyAlignment="1">
      <alignment horizontal="center" vertical="center"/>
    </xf>
    <xf numFmtId="0" fontId="11" fillId="4" borderId="8" xfId="0" applyFont="1" applyFill="1" applyBorder="1" applyAlignment="1" applyProtection="1">
      <alignment horizontal="center" vertical="center"/>
    </xf>
    <xf numFmtId="0" fontId="11" fillId="4" borderId="15" xfId="0" applyFont="1" applyFill="1" applyBorder="1" applyAlignment="1" applyProtection="1">
      <alignment horizontal="center" vertical="center"/>
    </xf>
    <xf numFmtId="0" fontId="8" fillId="0" borderId="50" xfId="0" applyFont="1" applyBorder="1" applyAlignment="1">
      <alignment horizontal="left" vertical="center" wrapText="1"/>
    </xf>
    <xf numFmtId="0" fontId="16" fillId="0" borderId="23" xfId="0" applyFont="1" applyBorder="1" applyAlignment="1">
      <alignment horizontal="left" vertical="center" wrapText="1"/>
    </xf>
    <xf numFmtId="0" fontId="7" fillId="0" borderId="38" xfId="0" applyFont="1" applyBorder="1" applyAlignment="1">
      <alignment horizontal="left" vertical="center"/>
    </xf>
    <xf numFmtId="0" fontId="7" fillId="4" borderId="226" xfId="0" applyFont="1" applyFill="1" applyBorder="1" applyAlignment="1" applyProtection="1">
      <alignment horizontal="center" vertical="center"/>
    </xf>
    <xf numFmtId="0" fontId="7" fillId="0" borderId="226" xfId="0" applyFont="1" applyBorder="1" applyAlignment="1" applyProtection="1">
      <alignment horizontal="center" vertical="center"/>
      <protection locked="0"/>
    </xf>
    <xf numFmtId="0" fontId="7" fillId="0" borderId="227" xfId="0" applyFont="1" applyBorder="1" applyAlignment="1" applyProtection="1">
      <alignment horizontal="center" vertical="center"/>
      <protection locked="0"/>
    </xf>
    <xf numFmtId="0" fontId="7" fillId="4" borderId="229" xfId="0" applyFont="1" applyFill="1" applyBorder="1" applyAlignment="1" applyProtection="1">
      <alignment horizontal="center" vertical="center"/>
    </xf>
    <xf numFmtId="0" fontId="7" fillId="0" borderId="229" xfId="0" applyFont="1" applyBorder="1" applyAlignment="1" applyProtection="1">
      <alignment horizontal="center" vertical="center"/>
      <protection locked="0"/>
    </xf>
    <xf numFmtId="0" fontId="7" fillId="4" borderId="230" xfId="0" applyFont="1" applyFill="1" applyBorder="1" applyAlignment="1" applyProtection="1">
      <alignment horizontal="center" vertical="center"/>
    </xf>
    <xf numFmtId="0" fontId="14" fillId="6" borderId="231" xfId="0" applyFont="1" applyFill="1" applyBorder="1" applyAlignment="1">
      <alignment horizontal="center" vertical="center"/>
    </xf>
    <xf numFmtId="0" fontId="8" fillId="0" borderId="238" xfId="0" applyFont="1" applyBorder="1" applyAlignment="1">
      <alignment horizontal="left" vertical="center" wrapText="1"/>
    </xf>
    <xf numFmtId="0" fontId="7" fillId="4" borderId="239" xfId="0" applyFont="1" applyFill="1" applyBorder="1" applyAlignment="1" applyProtection="1">
      <alignment horizontal="center" vertical="center"/>
    </xf>
    <xf numFmtId="0" fontId="7" fillId="4" borderId="202" xfId="0" applyFont="1" applyFill="1" applyBorder="1" applyAlignment="1" applyProtection="1">
      <alignment horizontal="center" vertical="center"/>
    </xf>
    <xf numFmtId="0" fontId="11" fillId="0" borderId="211" xfId="0" applyFont="1" applyBorder="1" applyAlignment="1" applyProtection="1">
      <alignment horizontal="center" vertical="center"/>
      <protection locked="0"/>
    </xf>
    <xf numFmtId="0" fontId="11" fillId="0" borderId="190" xfId="0" applyFont="1" applyBorder="1" applyAlignment="1" applyProtection="1">
      <alignment horizontal="center" vertical="center"/>
      <protection locked="0"/>
    </xf>
    <xf numFmtId="0" fontId="8" fillId="6" borderId="241" xfId="0" applyFont="1" applyFill="1" applyBorder="1" applyAlignment="1">
      <alignment horizontal="left" vertical="center" wrapText="1"/>
    </xf>
    <xf numFmtId="0" fontId="7" fillId="4" borderId="242" xfId="0" applyFont="1" applyFill="1" applyBorder="1" applyAlignment="1">
      <alignment vertical="center"/>
    </xf>
    <xf numFmtId="0" fontId="8" fillId="6" borderId="243" xfId="0" applyFont="1" applyFill="1" applyBorder="1" applyAlignment="1">
      <alignment horizontal="left" vertical="center" wrapText="1"/>
    </xf>
    <xf numFmtId="0" fontId="7" fillId="4" borderId="244" xfId="0" applyFont="1" applyFill="1" applyBorder="1" applyAlignment="1">
      <alignment vertical="center"/>
    </xf>
    <xf numFmtId="0" fontId="7" fillId="4" borderId="44" xfId="0" applyFont="1" applyFill="1" applyBorder="1" applyAlignment="1">
      <alignment vertical="center"/>
    </xf>
    <xf numFmtId="0" fontId="7" fillId="4" borderId="38" xfId="0" applyFont="1" applyFill="1" applyBorder="1" applyAlignment="1">
      <alignment vertical="center"/>
    </xf>
    <xf numFmtId="49" fontId="18" fillId="4" borderId="35" xfId="1" applyNumberFormat="1" applyFont="1" applyFill="1" applyBorder="1" applyAlignment="1">
      <alignment horizontal="center" vertical="center"/>
    </xf>
    <xf numFmtId="49" fontId="18" fillId="4" borderId="36" xfId="1" applyNumberFormat="1" applyFont="1" applyFill="1" applyBorder="1" applyAlignment="1">
      <alignment horizontal="center" vertical="center"/>
    </xf>
    <xf numFmtId="0" fontId="7" fillId="4" borderId="67" xfId="0" applyFont="1" applyFill="1" applyBorder="1" applyAlignment="1" applyProtection="1">
      <alignment horizontal="center" vertical="center"/>
    </xf>
    <xf numFmtId="0" fontId="7" fillId="0" borderId="67" xfId="0" applyFont="1" applyBorder="1" applyAlignment="1" applyProtection="1">
      <alignment horizontal="center" vertical="center"/>
      <protection locked="0"/>
    </xf>
    <xf numFmtId="0" fontId="7" fillId="2" borderId="67" xfId="0" applyFont="1" applyFill="1" applyBorder="1" applyAlignment="1" applyProtection="1">
      <alignment horizontal="center" vertical="center"/>
    </xf>
    <xf numFmtId="0" fontId="8" fillId="6" borderId="68" xfId="0" applyFont="1" applyFill="1" applyBorder="1" applyAlignment="1">
      <alignment horizontal="center" vertical="center"/>
    </xf>
    <xf numFmtId="0" fontId="7" fillId="4" borderId="70" xfId="0" applyFont="1" applyFill="1" applyBorder="1" applyAlignment="1" applyProtection="1">
      <alignment horizontal="center" vertical="center"/>
    </xf>
    <xf numFmtId="0" fontId="7" fillId="0" borderId="70" xfId="0" applyFont="1" applyBorder="1" applyAlignment="1" applyProtection="1">
      <alignment horizontal="center" vertical="center"/>
      <protection locked="0"/>
    </xf>
    <xf numFmtId="0" fontId="7" fillId="4" borderId="245" xfId="0" applyFont="1" applyFill="1" applyBorder="1" applyAlignment="1" applyProtection="1">
      <alignment horizontal="center" vertical="center"/>
    </xf>
    <xf numFmtId="0" fontId="7" fillId="4" borderId="246" xfId="0" applyFont="1" applyFill="1" applyBorder="1" applyAlignment="1" applyProtection="1">
      <alignment horizontal="center" vertical="center"/>
    </xf>
    <xf numFmtId="0" fontId="7" fillId="4" borderId="247" xfId="0" applyFont="1" applyFill="1" applyBorder="1" applyAlignment="1" applyProtection="1">
      <alignment horizontal="center" vertical="center"/>
    </xf>
    <xf numFmtId="0" fontId="7" fillId="4" borderId="209" xfId="0" applyFont="1" applyFill="1" applyBorder="1" applyAlignment="1" applyProtection="1">
      <alignment horizontal="center" vertical="center"/>
    </xf>
    <xf numFmtId="0" fontId="7" fillId="2" borderId="209" xfId="0" applyFont="1" applyFill="1" applyBorder="1" applyAlignment="1" applyProtection="1">
      <alignment horizontal="center" vertical="center"/>
    </xf>
    <xf numFmtId="0" fontId="7" fillId="0" borderId="248" xfId="0" applyFont="1" applyBorder="1" applyAlignment="1" applyProtection="1">
      <alignment horizontal="center" vertical="center"/>
      <protection locked="0"/>
    </xf>
    <xf numFmtId="0" fontId="7" fillId="4" borderId="78" xfId="0" applyFont="1" applyFill="1" applyBorder="1" applyAlignment="1" applyProtection="1">
      <alignment horizontal="center" vertical="center"/>
    </xf>
    <xf numFmtId="49" fontId="8" fillId="6" borderId="78" xfId="0" applyNumberFormat="1" applyFont="1" applyFill="1" applyBorder="1" applyAlignment="1" applyProtection="1">
      <alignment horizontal="center" vertical="center"/>
    </xf>
    <xf numFmtId="49" fontId="8" fillId="6" borderId="218" xfId="0" applyNumberFormat="1" applyFont="1" applyFill="1" applyBorder="1" applyAlignment="1" applyProtection="1">
      <alignment horizontal="center" vertical="center"/>
    </xf>
    <xf numFmtId="0" fontId="7" fillId="4" borderId="223" xfId="0" applyFont="1" applyFill="1" applyBorder="1" applyAlignment="1" applyProtection="1">
      <alignment horizontal="center" vertical="center"/>
    </xf>
    <xf numFmtId="0" fontId="7" fillId="4" borderId="68" xfId="0" applyFont="1" applyFill="1" applyBorder="1" applyAlignment="1" applyProtection="1">
      <alignment horizontal="center" vertical="center"/>
    </xf>
    <xf numFmtId="0" fontId="7" fillId="0" borderId="78" xfId="0" applyFont="1" applyBorder="1" applyAlignment="1" applyProtection="1">
      <alignment horizontal="center" vertical="center"/>
      <protection locked="0"/>
    </xf>
    <xf numFmtId="0" fontId="7" fillId="2" borderId="78" xfId="0" applyFont="1" applyFill="1" applyBorder="1" applyAlignment="1" applyProtection="1">
      <alignment horizontal="center" vertical="center"/>
    </xf>
    <xf numFmtId="0" fontId="7" fillId="0" borderId="218" xfId="0" applyFont="1" applyBorder="1" applyAlignment="1" applyProtection="1">
      <alignment horizontal="center" vertical="center"/>
      <protection locked="0"/>
    </xf>
    <xf numFmtId="0" fontId="16" fillId="0" borderId="29" xfId="0" applyFont="1" applyBorder="1" applyAlignment="1">
      <alignment horizontal="left" vertical="center" wrapText="1"/>
    </xf>
    <xf numFmtId="0" fontId="7" fillId="4" borderId="218" xfId="0" applyFont="1" applyFill="1" applyBorder="1" applyAlignment="1" applyProtection="1">
      <alignment horizontal="center" vertical="center"/>
    </xf>
    <xf numFmtId="0" fontId="16" fillId="4" borderId="29" xfId="0" applyFont="1" applyFill="1" applyBorder="1" applyAlignment="1">
      <alignment vertical="center"/>
    </xf>
    <xf numFmtId="0" fontId="7" fillId="4" borderId="69" xfId="0" applyFont="1" applyFill="1" applyBorder="1" applyAlignment="1" applyProtection="1">
      <alignment horizontal="center" vertical="center"/>
    </xf>
    <xf numFmtId="0" fontId="7" fillId="4" borderId="190" xfId="0" applyFont="1" applyFill="1" applyBorder="1" applyAlignment="1" applyProtection="1">
      <alignment horizontal="center" vertical="center"/>
    </xf>
    <xf numFmtId="0" fontId="7" fillId="0" borderId="190" xfId="0" applyFont="1" applyBorder="1" applyAlignment="1" applyProtection="1">
      <alignment horizontal="center" vertical="center"/>
      <protection locked="0"/>
    </xf>
    <xf numFmtId="0" fontId="7" fillId="4" borderId="212" xfId="0" applyFont="1" applyFill="1" applyBorder="1" applyAlignment="1" applyProtection="1">
      <alignment horizontal="center" vertical="center"/>
    </xf>
    <xf numFmtId="0" fontId="7" fillId="4" borderId="249" xfId="0" applyFont="1" applyFill="1" applyBorder="1" applyAlignment="1" applyProtection="1">
      <alignment horizontal="center" vertical="center"/>
    </xf>
    <xf numFmtId="0" fontId="7" fillId="0" borderId="249" xfId="0" applyFont="1" applyBorder="1" applyAlignment="1" applyProtection="1">
      <alignment horizontal="center" vertical="center"/>
      <protection locked="0"/>
    </xf>
    <xf numFmtId="0" fontId="7" fillId="4" borderId="250" xfId="0" applyFont="1" applyFill="1" applyBorder="1" applyAlignment="1" applyProtection="1">
      <alignment horizontal="center" vertical="center"/>
    </xf>
    <xf numFmtId="0" fontId="16" fillId="0" borderId="48" xfId="0" applyFont="1" applyBorder="1" applyAlignment="1">
      <alignment horizontal="left" vertical="center" wrapText="1"/>
    </xf>
    <xf numFmtId="0" fontId="8" fillId="6" borderId="217" xfId="0" applyFont="1" applyFill="1" applyBorder="1" applyAlignment="1">
      <alignment horizontal="center" vertical="center"/>
    </xf>
    <xf numFmtId="0" fontId="8" fillId="6" borderId="218" xfId="0" applyFont="1" applyFill="1" applyBorder="1" applyAlignment="1">
      <alignment horizontal="center" vertical="center"/>
    </xf>
    <xf numFmtId="0" fontId="7" fillId="0" borderId="187" xfId="0" applyFont="1" applyBorder="1" applyAlignment="1" applyProtection="1">
      <alignment horizontal="center" vertical="center"/>
      <protection locked="0"/>
    </xf>
    <xf numFmtId="0" fontId="7" fillId="0" borderId="252" xfId="0" applyFont="1" applyBorder="1" applyAlignment="1" applyProtection="1">
      <alignment horizontal="center" vertical="center"/>
      <protection locked="0"/>
    </xf>
    <xf numFmtId="0" fontId="7" fillId="4" borderId="255" xfId="0" applyFont="1" applyFill="1" applyBorder="1" applyAlignment="1" applyProtection="1">
      <alignment horizontal="center" vertical="center"/>
    </xf>
    <xf numFmtId="0" fontId="7" fillId="4" borderId="256" xfId="0" applyFont="1" applyFill="1" applyBorder="1" applyAlignment="1" applyProtection="1">
      <alignment horizontal="center" vertical="center"/>
    </xf>
    <xf numFmtId="0" fontId="7" fillId="4" borderId="257" xfId="0" applyFont="1" applyFill="1" applyBorder="1" applyAlignment="1" applyProtection="1">
      <alignment horizontal="center" vertical="center"/>
    </xf>
    <xf numFmtId="0" fontId="7" fillId="4" borderId="187" xfId="0" applyFont="1" applyFill="1" applyBorder="1" applyAlignment="1" applyProtection="1">
      <alignment horizontal="center" vertical="center"/>
    </xf>
    <xf numFmtId="0" fontId="7" fillId="4" borderId="217" xfId="0" applyFont="1" applyFill="1" applyBorder="1" applyAlignment="1" applyProtection="1">
      <alignment horizontal="center" vertical="center"/>
    </xf>
    <xf numFmtId="0" fontId="7" fillId="4" borderId="188" xfId="0" applyFont="1" applyFill="1" applyBorder="1" applyAlignment="1" applyProtection="1">
      <alignment horizontal="center" vertical="center"/>
    </xf>
    <xf numFmtId="0" fontId="7" fillId="4" borderId="248" xfId="0" applyFont="1" applyFill="1" applyBorder="1" applyAlignment="1" applyProtection="1">
      <alignment horizontal="center" vertical="center"/>
    </xf>
    <xf numFmtId="0" fontId="7" fillId="4" borderId="252" xfId="0" applyFont="1" applyFill="1" applyBorder="1" applyAlignment="1" applyProtection="1">
      <alignment horizontal="center" vertical="center"/>
    </xf>
    <xf numFmtId="0" fontId="7" fillId="0" borderId="188" xfId="0" applyFont="1" applyBorder="1" applyAlignment="1" applyProtection="1">
      <alignment horizontal="center" vertical="center"/>
      <protection locked="0"/>
    </xf>
    <xf numFmtId="0" fontId="7" fillId="4" borderId="258" xfId="0" applyFont="1" applyFill="1" applyBorder="1" applyAlignment="1" applyProtection="1">
      <alignment horizontal="center" vertical="center"/>
    </xf>
    <xf numFmtId="0" fontId="7" fillId="4" borderId="76" xfId="0" applyFont="1" applyFill="1" applyBorder="1" applyAlignment="1" applyProtection="1">
      <alignment horizontal="center" vertical="center"/>
    </xf>
    <xf numFmtId="0" fontId="7" fillId="4" borderId="83" xfId="0" applyFont="1" applyFill="1" applyBorder="1" applyAlignment="1" applyProtection="1">
      <alignment horizontal="center" vertical="center"/>
    </xf>
    <xf numFmtId="0" fontId="7" fillId="4" borderId="253" xfId="0" applyFont="1" applyFill="1" applyBorder="1" applyAlignment="1" applyProtection="1">
      <alignment horizontal="center" vertical="center"/>
    </xf>
    <xf numFmtId="0" fontId="7" fillId="4" borderId="254" xfId="0" applyFont="1" applyFill="1" applyBorder="1" applyAlignment="1" applyProtection="1">
      <alignment horizontal="center" vertical="center"/>
    </xf>
    <xf numFmtId="0" fontId="7" fillId="4" borderId="259" xfId="0" applyFont="1" applyFill="1" applyBorder="1" applyAlignment="1" applyProtection="1">
      <alignment horizontal="center" vertical="center"/>
    </xf>
    <xf numFmtId="49" fontId="8" fillId="6" borderId="69" xfId="0" applyNumberFormat="1" applyFont="1" applyFill="1" applyBorder="1" applyAlignment="1" applyProtection="1">
      <alignment horizontal="center" vertical="center"/>
    </xf>
    <xf numFmtId="0" fontId="7" fillId="0" borderId="69" xfId="0" applyFont="1" applyBorder="1" applyAlignment="1" applyProtection="1">
      <alignment horizontal="center" vertical="center"/>
      <protection locked="0"/>
    </xf>
    <xf numFmtId="0" fontId="7" fillId="4" borderId="210" xfId="0" applyFont="1" applyFill="1" applyBorder="1" applyAlignment="1" applyProtection="1">
      <alignment horizontal="center" vertical="center"/>
    </xf>
    <xf numFmtId="0" fontId="8" fillId="6" borderId="248" xfId="0" applyFont="1" applyFill="1" applyBorder="1" applyAlignment="1">
      <alignment horizontal="center" vertical="center"/>
    </xf>
    <xf numFmtId="49" fontId="8" fillId="6" borderId="252" xfId="0" applyNumberFormat="1" applyFont="1" applyFill="1" applyBorder="1" applyAlignment="1" applyProtection="1">
      <alignment horizontal="center" vertical="center"/>
    </xf>
    <xf numFmtId="0" fontId="7" fillId="0" borderId="191" xfId="0" applyFont="1" applyBorder="1" applyAlignment="1" applyProtection="1">
      <alignment horizontal="center" vertical="center"/>
      <protection locked="0"/>
    </xf>
    <xf numFmtId="0" fontId="8" fillId="6" borderId="251" xfId="0" applyFont="1" applyFill="1" applyBorder="1" applyAlignment="1">
      <alignment horizontal="center" vertical="center"/>
    </xf>
    <xf numFmtId="0" fontId="7" fillId="0" borderId="189" xfId="0" applyFont="1" applyBorder="1" applyAlignment="1" applyProtection="1">
      <alignment horizontal="center" vertical="center"/>
      <protection locked="0"/>
    </xf>
    <xf numFmtId="0" fontId="8" fillId="6" borderId="240" xfId="0" applyFont="1" applyFill="1" applyBorder="1" applyAlignment="1">
      <alignment horizontal="center" vertical="center"/>
    </xf>
    <xf numFmtId="0" fontId="7" fillId="0" borderId="212" xfId="0" applyFont="1" applyBorder="1" applyAlignment="1" applyProtection="1">
      <alignment horizontal="center" vertical="center"/>
      <protection locked="0"/>
    </xf>
    <xf numFmtId="0" fontId="9" fillId="5" borderId="190" xfId="0" applyFont="1" applyFill="1" applyBorder="1" applyAlignment="1" applyProtection="1">
      <alignment horizontal="center" vertical="center"/>
      <protection locked="0"/>
    </xf>
    <xf numFmtId="0" fontId="8" fillId="4" borderId="67" xfId="0" applyFont="1" applyFill="1" applyBorder="1" applyAlignment="1" applyProtection="1">
      <alignment horizontal="center" vertical="center"/>
    </xf>
    <xf numFmtId="0" fontId="8" fillId="15" borderId="67" xfId="0" applyFont="1" applyFill="1" applyBorder="1" applyAlignment="1" applyProtection="1">
      <alignment horizontal="center" vertical="center"/>
    </xf>
    <xf numFmtId="0" fontId="7" fillId="4" borderId="184" xfId="0" applyFont="1" applyFill="1" applyBorder="1" applyAlignment="1">
      <alignment vertical="center"/>
    </xf>
    <xf numFmtId="0" fontId="7" fillId="4" borderId="185" xfId="0" applyFont="1" applyFill="1" applyBorder="1" applyAlignment="1">
      <alignment vertical="center"/>
    </xf>
    <xf numFmtId="0" fontId="7" fillId="4" borderId="186" xfId="0" applyFont="1" applyFill="1" applyBorder="1" applyAlignment="1">
      <alignment vertical="center"/>
    </xf>
    <xf numFmtId="0" fontId="8" fillId="4" borderId="190" xfId="0" applyFont="1" applyFill="1" applyBorder="1" applyAlignment="1" applyProtection="1">
      <alignment horizontal="center" vertical="center"/>
    </xf>
    <xf numFmtId="0" fontId="8" fillId="4" borderId="219" xfId="0" applyFont="1" applyFill="1" applyBorder="1" applyAlignment="1" applyProtection="1">
      <alignment horizontal="center" vertical="center"/>
    </xf>
    <xf numFmtId="0" fontId="8" fillId="15" borderId="248" xfId="0" applyFont="1" applyFill="1" applyBorder="1" applyAlignment="1" applyProtection="1">
      <alignment horizontal="center" vertical="center"/>
    </xf>
    <xf numFmtId="0" fontId="8" fillId="4" borderId="220" xfId="0" applyFont="1" applyFill="1" applyBorder="1" applyAlignment="1" applyProtection="1">
      <alignment horizontal="center" vertical="center"/>
    </xf>
    <xf numFmtId="0" fontId="8" fillId="4" borderId="221" xfId="0" applyFont="1" applyFill="1" applyBorder="1" applyAlignment="1" applyProtection="1">
      <alignment horizontal="center" vertical="center"/>
    </xf>
    <xf numFmtId="0" fontId="9" fillId="15" borderId="78" xfId="0" applyFont="1" applyFill="1" applyBorder="1" applyAlignment="1" applyProtection="1">
      <alignment horizontal="center" vertical="center"/>
    </xf>
    <xf numFmtId="0" fontId="9" fillId="15" borderId="218" xfId="0" applyFont="1" applyFill="1" applyBorder="1" applyAlignment="1" applyProtection="1">
      <alignment horizontal="center" vertical="center"/>
    </xf>
    <xf numFmtId="0" fontId="11" fillId="4" borderId="209" xfId="0" applyFont="1" applyFill="1" applyBorder="1" applyAlignment="1" applyProtection="1">
      <alignment horizontal="center" vertical="center"/>
    </xf>
    <xf numFmtId="0" fontId="11" fillId="4" borderId="217" xfId="0" applyFont="1" applyFill="1" applyBorder="1" applyAlignment="1" applyProtection="1">
      <alignment horizontal="center" vertical="center"/>
    </xf>
    <xf numFmtId="0" fontId="8" fillId="0" borderId="248" xfId="0" applyFont="1" applyBorder="1" applyAlignment="1" applyProtection="1">
      <alignment horizontal="center" vertical="center"/>
      <protection locked="0"/>
    </xf>
    <xf numFmtId="0" fontId="8" fillId="4" borderId="78" xfId="0" applyFont="1" applyFill="1" applyBorder="1" applyAlignment="1" applyProtection="1">
      <alignment horizontal="center" vertical="center"/>
    </xf>
    <xf numFmtId="0" fontId="9" fillId="5" borderId="218" xfId="0" applyFont="1" applyFill="1" applyBorder="1" applyAlignment="1" applyProtection="1">
      <alignment horizontal="center" vertical="center"/>
      <protection locked="0"/>
    </xf>
    <xf numFmtId="0" fontId="8" fillId="15" borderId="70" xfId="0" applyFont="1" applyFill="1" applyBorder="1" applyAlignment="1" applyProtection="1">
      <alignment horizontal="center" vertical="center"/>
    </xf>
    <xf numFmtId="0" fontId="11" fillId="4" borderId="210" xfId="0" applyFont="1" applyFill="1" applyBorder="1" applyAlignment="1" applyProtection="1">
      <alignment horizontal="center" vertical="center"/>
    </xf>
    <xf numFmtId="0" fontId="8" fillId="2" borderId="184" xfId="0" applyFont="1" applyFill="1" applyBorder="1" applyAlignment="1">
      <alignment horizontal="left" vertical="center" wrapText="1"/>
    </xf>
    <xf numFmtId="0" fontId="7" fillId="0" borderId="185" xfId="0" applyFont="1" applyBorder="1" applyAlignment="1">
      <alignment horizontal="left" vertical="center" wrapText="1"/>
    </xf>
    <xf numFmtId="0" fontId="7" fillId="5" borderId="186" xfId="0" applyFont="1" applyFill="1" applyBorder="1" applyAlignment="1">
      <alignment horizontal="left" vertical="center" wrapText="1"/>
    </xf>
    <xf numFmtId="0" fontId="8" fillId="4" borderId="260" xfId="0" applyFont="1" applyFill="1" applyBorder="1" applyAlignment="1" applyProtection="1">
      <alignment horizontal="center" vertical="center"/>
    </xf>
    <xf numFmtId="0" fontId="7" fillId="4" borderId="261" xfId="0" applyFont="1" applyFill="1" applyBorder="1" applyAlignment="1">
      <alignment vertical="center"/>
    </xf>
    <xf numFmtId="0" fontId="7" fillId="4" borderId="262" xfId="0" applyFont="1" applyFill="1" applyBorder="1" applyAlignment="1">
      <alignment vertical="center"/>
    </xf>
    <xf numFmtId="0" fontId="7" fillId="4" borderId="263" xfId="0" applyFont="1" applyFill="1" applyBorder="1" applyAlignment="1">
      <alignment vertical="center"/>
    </xf>
    <xf numFmtId="0" fontId="8" fillId="4" borderId="264" xfId="0" applyFont="1" applyFill="1" applyBorder="1" applyAlignment="1" applyProtection="1">
      <alignment horizontal="center" vertical="center"/>
    </xf>
    <xf numFmtId="0" fontId="8" fillId="4" borderId="265" xfId="0" applyFont="1" applyFill="1" applyBorder="1" applyAlignment="1" applyProtection="1">
      <alignment horizontal="center" vertical="center"/>
    </xf>
    <xf numFmtId="0" fontId="11" fillId="15" borderId="223" xfId="0" applyFont="1" applyFill="1" applyBorder="1" applyAlignment="1" applyProtection="1">
      <alignment horizontal="center" vertical="center"/>
    </xf>
    <xf numFmtId="0" fontId="11" fillId="15" borderId="70" xfId="0" applyFont="1" applyFill="1" applyBorder="1" applyAlignment="1" applyProtection="1">
      <alignment horizontal="center" vertical="center"/>
    </xf>
    <xf numFmtId="0" fontId="11" fillId="15" borderId="251" xfId="0" applyFont="1" applyFill="1" applyBorder="1" applyAlignment="1" applyProtection="1">
      <alignment horizontal="center" vertical="center"/>
    </xf>
    <xf numFmtId="0" fontId="11" fillId="4" borderId="266" xfId="0" applyFont="1" applyFill="1" applyBorder="1" applyAlignment="1" applyProtection="1">
      <alignment horizontal="center" vertical="center"/>
    </xf>
    <xf numFmtId="0" fontId="8" fillId="0" borderId="217" xfId="0" applyFont="1" applyBorder="1" applyAlignment="1" applyProtection="1">
      <alignment horizontal="center" vertical="center"/>
      <protection locked="0"/>
    </xf>
    <xf numFmtId="0" fontId="8" fillId="0" borderId="240" xfId="0" applyFont="1" applyBorder="1" applyAlignment="1" applyProtection="1">
      <alignment horizontal="center" vertical="center"/>
      <protection locked="0"/>
    </xf>
    <xf numFmtId="0" fontId="13" fillId="4" borderId="267" xfId="0" applyFont="1" applyFill="1" applyBorder="1" applyAlignment="1" applyProtection="1">
      <alignment horizontal="center" vertical="center"/>
    </xf>
    <xf numFmtId="0" fontId="7" fillId="4" borderId="268" xfId="0" applyFont="1" applyFill="1" applyBorder="1" applyAlignment="1" applyProtection="1">
      <alignment horizontal="center" vertical="center"/>
    </xf>
    <xf numFmtId="0" fontId="8" fillId="4" borderId="268" xfId="0" applyFont="1" applyFill="1" applyBorder="1" applyAlignment="1" applyProtection="1">
      <alignment horizontal="center" vertical="center"/>
    </xf>
    <xf numFmtId="0" fontId="8" fillId="4" borderId="269" xfId="0" applyFont="1" applyFill="1" applyBorder="1" applyAlignment="1" applyProtection="1">
      <alignment horizontal="center" vertical="center"/>
    </xf>
    <xf numFmtId="0" fontId="8" fillId="15" borderId="223" xfId="0" applyFont="1" applyFill="1" applyBorder="1" applyAlignment="1" applyProtection="1">
      <alignment horizontal="center" vertical="center"/>
    </xf>
    <xf numFmtId="0" fontId="8" fillId="15" borderId="68" xfId="0" applyFont="1" applyFill="1" applyBorder="1" applyAlignment="1" applyProtection="1">
      <alignment horizontal="center" vertical="center"/>
    </xf>
    <xf numFmtId="0" fontId="9" fillId="15" borderId="69" xfId="0" applyFont="1" applyFill="1" applyBorder="1" applyAlignment="1" applyProtection="1">
      <alignment horizontal="center" vertical="center"/>
    </xf>
    <xf numFmtId="0" fontId="9" fillId="5" borderId="211" xfId="0" applyFont="1" applyFill="1" applyBorder="1" applyAlignment="1" applyProtection="1">
      <alignment horizontal="center" vertical="center"/>
      <protection locked="0"/>
    </xf>
    <xf numFmtId="0" fontId="9" fillId="5" borderId="240" xfId="0" applyFont="1" applyFill="1" applyBorder="1" applyAlignment="1" applyProtection="1">
      <alignment horizontal="center" vertical="center"/>
      <protection locked="0"/>
    </xf>
    <xf numFmtId="0" fontId="8" fillId="15" borderId="251" xfId="0" applyFont="1" applyFill="1" applyBorder="1" applyAlignment="1" applyProtection="1">
      <alignment horizontal="center" vertical="center"/>
    </xf>
    <xf numFmtId="0" fontId="9" fillId="4" borderId="221" xfId="0" applyFont="1" applyFill="1" applyBorder="1" applyAlignment="1" applyProtection="1">
      <alignment horizontal="center" vertical="center"/>
    </xf>
    <xf numFmtId="0" fontId="11" fillId="4" borderId="270" xfId="0" applyFont="1" applyFill="1" applyBorder="1" applyAlignment="1" applyProtection="1">
      <alignment horizontal="center" vertical="center"/>
    </xf>
    <xf numFmtId="0" fontId="38" fillId="5" borderId="97" xfId="0" applyFont="1" applyFill="1" applyBorder="1" applyAlignment="1">
      <alignment wrapText="1"/>
    </xf>
    <xf numFmtId="0" fontId="38" fillId="5" borderId="96" xfId="0" applyFont="1" applyFill="1" applyBorder="1" applyAlignment="1">
      <alignment wrapText="1"/>
    </xf>
    <xf numFmtId="0" fontId="29" fillId="5" borderId="1" xfId="0" applyFont="1" applyFill="1" applyBorder="1" applyAlignment="1">
      <alignment wrapText="1"/>
    </xf>
    <xf numFmtId="0" fontId="29" fillId="5" borderId="4" xfId="0" applyFont="1" applyFill="1" applyBorder="1" applyAlignment="1">
      <alignment wrapText="1"/>
    </xf>
    <xf numFmtId="0" fontId="38" fillId="5" borderId="0" xfId="0" applyFont="1" applyFill="1" applyAlignment="1">
      <alignment wrapText="1"/>
    </xf>
    <xf numFmtId="0" fontId="29" fillId="5" borderId="1" xfId="0" applyFont="1" applyFill="1" applyBorder="1" applyAlignment="1">
      <alignment vertical="top"/>
    </xf>
    <xf numFmtId="0" fontId="29" fillId="5" borderId="5" xfId="0" applyFont="1" applyFill="1" applyBorder="1" applyAlignment="1">
      <alignment vertical="top"/>
    </xf>
    <xf numFmtId="0" fontId="29" fillId="4" borderId="88" xfId="0" applyFont="1" applyFill="1" applyBorder="1" applyAlignment="1">
      <alignment vertical="center"/>
    </xf>
    <xf numFmtId="0" fontId="29" fillId="4" borderId="75" xfId="0" applyFont="1" applyFill="1" applyBorder="1" applyAlignment="1">
      <alignment vertical="center"/>
    </xf>
    <xf numFmtId="0" fontId="29" fillId="4" borderId="93" xfId="0" applyFont="1" applyFill="1" applyBorder="1" applyAlignment="1">
      <alignment vertical="center"/>
    </xf>
    <xf numFmtId="0" fontId="29" fillId="4" borderId="90" xfId="0" applyFont="1" applyFill="1" applyBorder="1" applyAlignment="1">
      <alignment vertical="center"/>
    </xf>
    <xf numFmtId="0" fontId="29" fillId="4" borderId="198" xfId="0" applyFont="1" applyFill="1" applyBorder="1" applyAlignment="1">
      <alignment vertical="center"/>
    </xf>
    <xf numFmtId="0" fontId="38" fillId="4" borderId="75" xfId="0" applyFont="1" applyFill="1" applyBorder="1" applyAlignment="1">
      <alignment vertical="center"/>
    </xf>
    <xf numFmtId="0" fontId="7" fillId="4" borderId="48" xfId="0" applyFont="1" applyFill="1" applyBorder="1" applyAlignment="1">
      <alignment vertical="center"/>
    </xf>
    <xf numFmtId="0" fontId="7" fillId="4" borderId="174" xfId="0" applyFont="1" applyFill="1" applyBorder="1" applyAlignment="1">
      <alignment vertical="center"/>
    </xf>
    <xf numFmtId="0" fontId="38" fillId="4" borderId="24" xfId="0" applyFont="1" applyFill="1" applyBorder="1" applyAlignment="1">
      <alignment vertical="center" wrapText="1"/>
    </xf>
    <xf numFmtId="0" fontId="29" fillId="4" borderId="75" xfId="0" applyFont="1" applyFill="1" applyBorder="1" applyAlignment="1">
      <alignment vertical="center" wrapText="1"/>
    </xf>
    <xf numFmtId="0" fontId="29" fillId="0" borderId="75" xfId="0" applyFont="1" applyFill="1" applyBorder="1" applyAlignment="1">
      <alignment vertical="center"/>
    </xf>
    <xf numFmtId="0" fontId="29" fillId="4" borderId="49" xfId="0" applyFont="1" applyFill="1" applyBorder="1" applyAlignment="1">
      <alignment vertical="center" wrapText="1"/>
    </xf>
    <xf numFmtId="0" fontId="29" fillId="3" borderId="75" xfId="0" applyFont="1" applyFill="1" applyBorder="1" applyAlignment="1">
      <alignment vertical="center"/>
    </xf>
    <xf numFmtId="0" fontId="38" fillId="5" borderId="0" xfId="0" applyFont="1" applyFill="1" applyAlignment="1">
      <alignment vertical="top"/>
    </xf>
    <xf numFmtId="0" fontId="8" fillId="5" borderId="241" xfId="0" applyFont="1" applyFill="1" applyBorder="1" applyAlignment="1">
      <alignment horizontal="left" vertical="center" wrapText="1"/>
    </xf>
    <xf numFmtId="0" fontId="8" fillId="5" borderId="243" xfId="0" applyFont="1" applyFill="1" applyBorder="1" applyAlignment="1">
      <alignment horizontal="left" vertical="center" wrapText="1"/>
    </xf>
    <xf numFmtId="0" fontId="38" fillId="0" borderId="88" xfId="0" applyFont="1" applyBorder="1" applyAlignment="1">
      <alignment horizontal="left" vertical="center" wrapText="1"/>
    </xf>
    <xf numFmtId="0" fontId="38" fillId="12" borderId="88" xfId="0" applyFont="1" applyFill="1" applyBorder="1" applyAlignment="1">
      <alignment wrapText="1"/>
    </xf>
    <xf numFmtId="0" fontId="38" fillId="5" borderId="196" xfId="0" applyFont="1" applyFill="1" applyBorder="1" applyAlignment="1"/>
    <xf numFmtId="0" fontId="7" fillId="0" borderId="10" xfId="0" applyFont="1" applyBorder="1" applyAlignment="1" applyProtection="1">
      <alignment horizontal="center" vertical="center"/>
      <protection locked="0"/>
    </xf>
    <xf numFmtId="0" fontId="11" fillId="4" borderId="48" xfId="0" applyFont="1" applyFill="1" applyBorder="1" applyAlignment="1" applyProtection="1">
      <alignment horizontal="center" vertical="center"/>
    </xf>
    <xf numFmtId="0" fontId="8" fillId="2" borderId="271" xfId="0" applyFont="1" applyFill="1" applyBorder="1" applyAlignment="1">
      <alignment vertical="top"/>
    </xf>
    <xf numFmtId="0" fontId="7" fillId="2" borderId="271" xfId="0" applyFont="1" applyFill="1" applyBorder="1" applyAlignment="1">
      <alignment horizontal="left" vertical="top"/>
    </xf>
    <xf numFmtId="0" fontId="8" fillId="2" borderId="59" xfId="0" applyFont="1" applyFill="1" applyBorder="1" applyAlignment="1">
      <alignment horizontal="center" vertical="center" wrapText="1"/>
    </xf>
    <xf numFmtId="0" fontId="8" fillId="2" borderId="49" xfId="0" applyFont="1" applyFill="1" applyBorder="1" applyAlignment="1">
      <alignment horizontal="center" vertical="center" wrapText="1"/>
    </xf>
    <xf numFmtId="0" fontId="8" fillId="2" borderId="60" xfId="0" applyFont="1" applyFill="1" applyBorder="1" applyAlignment="1">
      <alignment horizontal="center" vertical="center" wrapText="1"/>
    </xf>
    <xf numFmtId="0" fontId="8" fillId="8" borderId="48" xfId="0" applyFont="1" applyFill="1" applyBorder="1" applyAlignment="1">
      <alignment horizontal="center" vertical="center" wrapText="1"/>
    </xf>
    <xf numFmtId="0" fontId="7" fillId="2" borderId="22" xfId="0" applyFont="1" applyFill="1" applyBorder="1" applyAlignment="1">
      <alignment horizontal="left" vertical="top"/>
    </xf>
    <xf numFmtId="0" fontId="18" fillId="4" borderId="41" xfId="0" applyFont="1" applyFill="1" applyBorder="1" applyAlignment="1">
      <alignment vertical="center"/>
    </xf>
    <xf numFmtId="0" fontId="7" fillId="0" borderId="9" xfId="0" applyFont="1" applyBorder="1" applyAlignment="1" applyProtection="1">
      <alignment horizontal="center" vertical="center" wrapText="1"/>
      <protection locked="0"/>
    </xf>
    <xf numFmtId="0" fontId="7" fillId="0" borderId="20" xfId="0" applyFont="1" applyBorder="1" applyAlignment="1" applyProtection="1">
      <alignment horizontal="center" vertical="center" wrapText="1"/>
      <protection locked="0"/>
    </xf>
    <xf numFmtId="0" fontId="7" fillId="0" borderId="64" xfId="0" applyFont="1" applyBorder="1" applyAlignment="1">
      <alignment horizontal="left" vertical="center" wrapText="1"/>
    </xf>
    <xf numFmtId="0" fontId="7" fillId="0" borderId="61" xfId="0" applyFont="1" applyBorder="1" applyAlignment="1">
      <alignment horizontal="left" vertical="center" wrapText="1"/>
    </xf>
    <xf numFmtId="0" fontId="8" fillId="0" borderId="213" xfId="0" applyFont="1" applyBorder="1" applyAlignment="1">
      <alignment horizontal="left" vertical="center" wrapText="1"/>
    </xf>
    <xf numFmtId="0" fontId="8" fillId="6" borderId="233" xfId="0" applyFont="1" applyFill="1" applyBorder="1" applyAlignment="1">
      <alignment horizontal="left" vertical="center" wrapText="1"/>
    </xf>
    <xf numFmtId="0" fontId="8" fillId="6" borderId="236" xfId="0" applyFont="1" applyFill="1" applyBorder="1" applyAlignment="1">
      <alignment horizontal="left" vertical="center" wrapText="1"/>
    </xf>
    <xf numFmtId="0" fontId="7" fillId="0" borderId="224" xfId="0" applyFont="1" applyBorder="1" applyAlignment="1">
      <alignment horizontal="left" vertical="center" wrapText="1"/>
    </xf>
    <xf numFmtId="0" fontId="7" fillId="4" borderId="234" xfId="0" applyFont="1" applyFill="1" applyBorder="1" applyAlignment="1">
      <alignment vertical="center"/>
    </xf>
    <xf numFmtId="0" fontId="7" fillId="4" borderId="237" xfId="0" applyFont="1" applyFill="1" applyBorder="1" applyAlignment="1">
      <alignment vertical="center"/>
    </xf>
    <xf numFmtId="0" fontId="14" fillId="6" borderId="272" xfId="0" applyFont="1" applyFill="1" applyBorder="1" applyAlignment="1">
      <alignment horizontal="center" vertical="center"/>
    </xf>
    <xf numFmtId="0" fontId="14" fillId="6" borderId="187" xfId="0" applyFont="1" applyFill="1" applyBorder="1" applyAlignment="1">
      <alignment horizontal="center" vertical="center"/>
    </xf>
    <xf numFmtId="0" fontId="14" fillId="6" borderId="209" xfId="0" applyFont="1" applyFill="1" applyBorder="1" applyAlignment="1">
      <alignment horizontal="center" vertical="center"/>
    </xf>
    <xf numFmtId="0" fontId="14" fillId="6" borderId="217" xfId="0" applyFont="1" applyFill="1" applyBorder="1" applyAlignment="1">
      <alignment horizontal="center" vertical="center"/>
    </xf>
    <xf numFmtId="0" fontId="14" fillId="6" borderId="252" xfId="0" applyFont="1" applyFill="1" applyBorder="1" applyAlignment="1">
      <alignment horizontal="center" vertical="center"/>
    </xf>
    <xf numFmtId="0" fontId="14" fillId="6" borderId="78" xfId="0" applyFont="1" applyFill="1" applyBorder="1" applyAlignment="1">
      <alignment horizontal="center" vertical="center"/>
    </xf>
    <xf numFmtId="0" fontId="14" fillId="6" borderId="218" xfId="0" applyFont="1" applyFill="1" applyBorder="1" applyAlignment="1">
      <alignment horizontal="center" vertical="center"/>
    </xf>
    <xf numFmtId="0" fontId="7" fillId="5" borderId="60" xfId="0" applyFont="1" applyFill="1" applyBorder="1" applyAlignment="1">
      <alignment vertical="top" wrapText="1"/>
    </xf>
    <xf numFmtId="0" fontId="38" fillId="5" borderId="0" xfId="0" applyFont="1" applyFill="1" applyBorder="1" applyAlignment="1"/>
    <xf numFmtId="0" fontId="16" fillId="0" borderId="75" xfId="0" applyFont="1" applyBorder="1" applyAlignment="1">
      <alignment horizontal="left" vertical="center" wrapText="1"/>
    </xf>
    <xf numFmtId="0" fontId="38" fillId="5" borderId="274" xfId="0" applyFont="1" applyFill="1" applyBorder="1" applyAlignment="1"/>
    <xf numFmtId="0" fontId="7" fillId="0" borderId="75" xfId="0" applyFont="1" applyBorder="1" applyAlignment="1">
      <alignment horizontal="left" vertical="center" wrapText="1"/>
    </xf>
    <xf numFmtId="0" fontId="18" fillId="5" borderId="75" xfId="0" applyFont="1" applyFill="1" applyBorder="1" applyAlignment="1">
      <alignment horizontal="left" vertical="center" wrapText="1"/>
    </xf>
    <xf numFmtId="0" fontId="16" fillId="4" borderId="75" xfId="0" applyFont="1" applyFill="1" applyBorder="1" applyAlignment="1">
      <alignment vertical="center" wrapText="1"/>
    </xf>
    <xf numFmtId="0" fontId="29" fillId="5" borderId="3" xfId="0" applyFont="1" applyFill="1" applyBorder="1" applyAlignment="1"/>
    <xf numFmtId="0" fontId="29" fillId="5" borderId="2" xfId="0" applyFont="1" applyFill="1" applyBorder="1" applyAlignment="1">
      <alignment horizontal="left" vertical="center"/>
    </xf>
    <xf numFmtId="0" fontId="29" fillId="5" borderId="5" xfId="0" applyFont="1" applyFill="1" applyBorder="1" applyAlignment="1">
      <alignment horizontal="left" vertical="center"/>
    </xf>
    <xf numFmtId="0" fontId="38" fillId="5" borderId="0" xfId="0" applyFont="1" applyFill="1" applyBorder="1" applyAlignment="1">
      <alignment horizontal="left"/>
    </xf>
    <xf numFmtId="0" fontId="38" fillId="0" borderId="0" xfId="0" applyFont="1" applyBorder="1"/>
    <xf numFmtId="0" fontId="38" fillId="5" borderId="0" xfId="0" applyFont="1" applyFill="1" applyBorder="1" applyAlignment="1">
      <alignment vertical="center"/>
    </xf>
    <xf numFmtId="0" fontId="38" fillId="0" borderId="0" xfId="0" applyFont="1" applyFill="1" applyBorder="1" applyAlignment="1"/>
    <xf numFmtId="0" fontId="9" fillId="0" borderId="0" xfId="0" applyFont="1" applyFill="1" applyBorder="1" applyAlignment="1">
      <alignment vertical="center"/>
    </xf>
    <xf numFmtId="0" fontId="7" fillId="0" borderId="0" xfId="0" applyFont="1" applyBorder="1" applyAlignment="1">
      <alignment horizontal="left"/>
    </xf>
    <xf numFmtId="0" fontId="5" fillId="0" borderId="0" xfId="0" applyFont="1" applyBorder="1"/>
    <xf numFmtId="0" fontId="29" fillId="5" borderId="0" xfId="0" applyFont="1" applyFill="1" applyBorder="1" applyAlignment="1"/>
    <xf numFmtId="0" fontId="38" fillId="0" borderId="0" xfId="0" applyFont="1" applyBorder="1" applyAlignment="1"/>
    <xf numFmtId="0" fontId="8" fillId="0" borderId="177" xfId="0" applyFont="1" applyFill="1" applyBorder="1" applyAlignment="1">
      <alignment horizontal="left" vertical="center" wrapText="1"/>
    </xf>
    <xf numFmtId="0" fontId="38" fillId="5" borderId="275" xfId="0" applyFont="1" applyFill="1" applyBorder="1" applyAlignment="1"/>
    <xf numFmtId="0" fontId="38" fillId="5" borderId="276" xfId="0" applyFont="1" applyFill="1" applyBorder="1" applyAlignment="1"/>
    <xf numFmtId="0" fontId="38" fillId="5" borderId="277" xfId="0" applyFont="1" applyFill="1" applyBorder="1" applyAlignment="1"/>
    <xf numFmtId="0" fontId="38" fillId="0" borderId="278" xfId="0" applyFont="1" applyBorder="1" applyAlignment="1" applyProtection="1">
      <alignment horizontal="left" vertical="center"/>
      <protection locked="0"/>
    </xf>
    <xf numFmtId="0" fontId="38" fillId="0" borderId="276" xfId="0" applyFont="1" applyBorder="1" applyAlignment="1" applyProtection="1">
      <alignment horizontal="left" vertical="center"/>
      <protection locked="0"/>
    </xf>
    <xf numFmtId="0" fontId="38" fillId="0" borderId="277" xfId="0" applyFont="1" applyBorder="1" applyAlignment="1" applyProtection="1">
      <alignment horizontal="left" vertical="center"/>
      <protection locked="0"/>
    </xf>
    <xf numFmtId="0" fontId="38" fillId="12" borderId="282" xfId="0" applyFont="1" applyFill="1" applyBorder="1" applyAlignment="1"/>
    <xf numFmtId="0" fontId="38" fillId="12" borderId="276" xfId="0" applyFont="1" applyFill="1" applyBorder="1" applyAlignment="1"/>
    <xf numFmtId="0" fontId="38" fillId="12" borderId="283" xfId="0" applyFont="1" applyFill="1" applyBorder="1" applyAlignment="1"/>
    <xf numFmtId="0" fontId="38" fillId="12" borderId="277" xfId="0" applyFont="1" applyFill="1" applyBorder="1" applyAlignment="1"/>
    <xf numFmtId="0" fontId="38" fillId="12" borderId="278" xfId="0" applyFont="1" applyFill="1" applyBorder="1" applyAlignment="1"/>
    <xf numFmtId="0" fontId="38" fillId="12" borderId="277" xfId="0" applyFont="1" applyFill="1" applyBorder="1" applyAlignment="1">
      <alignment vertical="center"/>
    </xf>
    <xf numFmtId="0" fontId="38" fillId="5" borderId="283" xfId="0" applyFont="1" applyFill="1" applyBorder="1" applyAlignment="1"/>
    <xf numFmtId="0" fontId="42" fillId="0" borderId="276" xfId="0" applyFont="1" applyFill="1" applyBorder="1" applyAlignment="1">
      <alignment horizontal="left" vertical="center"/>
    </xf>
    <xf numFmtId="0" fontId="38" fillId="12" borderId="275" xfId="0" applyFont="1" applyFill="1" applyBorder="1" applyAlignment="1"/>
    <xf numFmtId="0" fontId="16" fillId="0" borderId="91" xfId="0" applyFont="1" applyBorder="1" applyAlignment="1">
      <alignment vertical="top" wrapText="1"/>
    </xf>
    <xf numFmtId="0" fontId="38" fillId="12" borderId="276" xfId="0" applyFont="1" applyFill="1" applyBorder="1" applyAlignment="1">
      <alignment wrapText="1"/>
    </xf>
    <xf numFmtId="49" fontId="29" fillId="6" borderId="276" xfId="0" applyNumberFormat="1" applyFont="1" applyFill="1" applyBorder="1" applyAlignment="1">
      <alignment horizontal="center" vertical="center"/>
    </xf>
    <xf numFmtId="0" fontId="38" fillId="12" borderId="276" xfId="0" applyFont="1" applyFill="1" applyBorder="1"/>
    <xf numFmtId="0" fontId="29" fillId="12" borderId="276" xfId="0" applyFont="1" applyFill="1" applyBorder="1" applyAlignment="1"/>
    <xf numFmtId="0" fontId="38" fillId="13" borderId="276" xfId="0" applyFont="1" applyFill="1" applyBorder="1" applyAlignment="1"/>
    <xf numFmtId="0" fontId="38" fillId="5" borderId="276" xfId="0" applyFont="1" applyFill="1" applyBorder="1" applyAlignment="1">
      <alignment horizontal="left" vertical="center"/>
    </xf>
    <xf numFmtId="0" fontId="38" fillId="0" borderId="276" xfId="0" applyFont="1" applyBorder="1" applyAlignment="1" applyProtection="1">
      <alignment horizontal="center" vertical="center"/>
    </xf>
    <xf numFmtId="0" fontId="42" fillId="3" borderId="293" xfId="0" applyFont="1" applyFill="1" applyBorder="1" applyAlignment="1">
      <alignment vertical="center"/>
    </xf>
    <xf numFmtId="0" fontId="42" fillId="3" borderId="74" xfId="0" applyFont="1" applyFill="1" applyBorder="1" applyAlignment="1">
      <alignment vertical="center"/>
    </xf>
    <xf numFmtId="0" fontId="42" fillId="5" borderId="27" xfId="0" applyFont="1" applyFill="1" applyBorder="1" applyAlignment="1">
      <alignment vertical="center" wrapText="1"/>
    </xf>
    <xf numFmtId="0" fontId="38" fillId="5" borderId="285" xfId="0" applyFont="1" applyFill="1" applyBorder="1" applyAlignment="1">
      <alignment horizontal="left" vertical="center"/>
    </xf>
    <xf numFmtId="0" fontId="38" fillId="5" borderId="294" xfId="0" applyFont="1" applyFill="1" applyBorder="1" applyAlignment="1">
      <alignment vertical="top" wrapText="1"/>
    </xf>
    <xf numFmtId="0" fontId="38" fillId="5" borderId="295" xfId="0" applyFont="1" applyFill="1" applyBorder="1" applyAlignment="1">
      <alignment horizontal="left" vertical="center"/>
    </xf>
    <xf numFmtId="0" fontId="7" fillId="4" borderId="41" xfId="0" applyFont="1" applyFill="1" applyBorder="1" applyAlignment="1">
      <alignment vertical="center"/>
    </xf>
    <xf numFmtId="0" fontId="7" fillId="2" borderId="22" xfId="0" applyFont="1" applyFill="1" applyBorder="1" applyAlignment="1">
      <alignment horizontal="left" vertical="top"/>
    </xf>
    <xf numFmtId="0" fontId="7" fillId="0" borderId="41" xfId="0" applyFont="1" applyBorder="1" applyAlignment="1">
      <alignment vertical="top" wrapText="1"/>
    </xf>
    <xf numFmtId="0" fontId="7" fillId="4" borderId="23" xfId="0" applyFont="1" applyFill="1" applyBorder="1" applyAlignment="1">
      <alignment vertical="center"/>
    </xf>
    <xf numFmtId="0" fontId="7" fillId="4" borderId="25" xfId="0" applyFont="1" applyFill="1" applyBorder="1" applyAlignment="1">
      <alignment vertical="center"/>
    </xf>
    <xf numFmtId="0" fontId="7" fillId="0" borderId="24" xfId="0" applyFont="1" applyBorder="1" applyAlignment="1">
      <alignment vertical="top" wrapText="1"/>
    </xf>
    <xf numFmtId="0" fontId="7" fillId="4" borderId="41" xfId="0" applyFont="1" applyFill="1" applyBorder="1" applyAlignment="1">
      <alignment vertical="center"/>
    </xf>
    <xf numFmtId="0" fontId="7" fillId="4" borderId="40" xfId="0" applyFont="1" applyFill="1" applyBorder="1" applyAlignment="1">
      <alignment vertical="center"/>
    </xf>
    <xf numFmtId="0" fontId="7" fillId="2" borderId="22" xfId="0" applyFont="1" applyFill="1" applyBorder="1" applyAlignment="1">
      <alignment horizontal="left" vertical="top"/>
    </xf>
    <xf numFmtId="0" fontId="7" fillId="0" borderId="40" xfId="0" applyFont="1" applyBorder="1" applyAlignment="1">
      <alignment horizontal="left" vertical="top" wrapText="1"/>
    </xf>
    <xf numFmtId="0" fontId="20" fillId="4" borderId="41" xfId="0" applyFont="1" applyFill="1" applyBorder="1" applyAlignment="1">
      <alignment vertical="center"/>
    </xf>
    <xf numFmtId="0" fontId="20" fillId="4" borderId="60" xfId="0" applyFont="1" applyFill="1" applyBorder="1" applyAlignment="1">
      <alignment vertical="center"/>
    </xf>
    <xf numFmtId="0" fontId="7" fillId="4" borderId="219" xfId="0" applyFont="1" applyFill="1" applyBorder="1" applyAlignment="1" applyProtection="1">
      <alignment horizontal="center" vertical="center"/>
    </xf>
    <xf numFmtId="0" fontId="7" fillId="4" borderId="179" xfId="0" applyFont="1" applyFill="1" applyBorder="1" applyAlignment="1" applyProtection="1">
      <alignment horizontal="center" vertical="center"/>
    </xf>
    <xf numFmtId="0" fontId="7" fillId="0" borderId="179" xfId="0" applyFont="1" applyBorder="1" applyAlignment="1" applyProtection="1">
      <alignment horizontal="center" vertical="center"/>
      <protection locked="0"/>
    </xf>
    <xf numFmtId="0" fontId="7" fillId="0" borderId="267" xfId="0" applyFont="1" applyBorder="1" applyAlignment="1" applyProtection="1">
      <alignment horizontal="center" vertical="center"/>
      <protection locked="0"/>
    </xf>
    <xf numFmtId="0" fontId="7" fillId="4" borderId="221" xfId="0" applyFont="1" applyFill="1" applyBorder="1" applyAlignment="1" applyProtection="1">
      <alignment horizontal="center" vertical="center"/>
    </xf>
    <xf numFmtId="0" fontId="7" fillId="4" borderId="180" xfId="0" applyFont="1" applyFill="1" applyBorder="1" applyAlignment="1" applyProtection="1">
      <alignment horizontal="center" vertical="center"/>
    </xf>
    <xf numFmtId="0" fontId="7" fillId="0" borderId="180" xfId="0" applyFont="1" applyBorder="1" applyAlignment="1" applyProtection="1">
      <alignment horizontal="center" vertical="center"/>
      <protection locked="0"/>
    </xf>
    <xf numFmtId="0" fontId="7" fillId="0" borderId="269" xfId="0" applyFont="1" applyBorder="1" applyAlignment="1" applyProtection="1">
      <alignment horizontal="center" vertical="center"/>
      <protection locked="0"/>
    </xf>
    <xf numFmtId="0" fontId="20" fillId="0" borderId="23" xfId="0" applyFont="1" applyBorder="1" applyAlignment="1">
      <alignment horizontal="left" vertical="center" wrapText="1"/>
    </xf>
    <xf numFmtId="0" fontId="20" fillId="0" borderId="25" xfId="0" applyFont="1" applyBorder="1" applyAlignment="1">
      <alignment horizontal="left" vertical="center" wrapText="1"/>
    </xf>
    <xf numFmtId="0" fontId="20" fillId="4" borderId="23" xfId="0" applyFont="1" applyFill="1" applyBorder="1" applyAlignment="1">
      <alignment vertical="center"/>
    </xf>
    <xf numFmtId="0" fontId="20" fillId="0" borderId="49" xfId="0" applyFont="1" applyBorder="1" applyAlignment="1">
      <alignment horizontal="left" vertical="center" wrapText="1"/>
    </xf>
    <xf numFmtId="0" fontId="20" fillId="4" borderId="49" xfId="0" applyFont="1" applyFill="1" applyBorder="1" applyAlignment="1">
      <alignment vertical="center"/>
    </xf>
    <xf numFmtId="0" fontId="7" fillId="4" borderId="296" xfId="0" applyFont="1" applyFill="1" applyBorder="1" applyAlignment="1" applyProtection="1">
      <alignment horizontal="center" vertical="center"/>
    </xf>
    <xf numFmtId="0" fontId="7" fillId="4" borderId="205" xfId="0" applyFont="1" applyFill="1" applyBorder="1" applyAlignment="1" applyProtection="1">
      <alignment horizontal="center" vertical="center"/>
    </xf>
    <xf numFmtId="0" fontId="38" fillId="5" borderId="91" xfId="0" applyFont="1" applyFill="1" applyBorder="1" applyAlignment="1">
      <alignment vertical="center" wrapText="1"/>
    </xf>
    <xf numFmtId="0" fontId="38" fillId="0" borderId="91" xfId="0" applyFont="1" applyBorder="1" applyAlignment="1">
      <alignment vertical="center" wrapText="1"/>
    </xf>
    <xf numFmtId="0" fontId="7" fillId="4" borderId="23" xfId="0" applyFont="1" applyFill="1" applyBorder="1" applyAlignment="1">
      <alignment vertical="center"/>
    </xf>
    <xf numFmtId="0" fontId="7" fillId="4" borderId="41" xfId="0" applyFont="1" applyFill="1" applyBorder="1" applyAlignment="1">
      <alignment vertical="center"/>
    </xf>
    <xf numFmtId="0" fontId="7" fillId="2" borderId="22" xfId="0" applyFont="1" applyFill="1" applyBorder="1" applyAlignment="1">
      <alignment horizontal="left" vertical="top"/>
    </xf>
    <xf numFmtId="0" fontId="7" fillId="4" borderId="25" xfId="0" applyFont="1" applyFill="1" applyBorder="1" applyAlignment="1">
      <alignment vertical="center"/>
    </xf>
    <xf numFmtId="0" fontId="7" fillId="4" borderId="27" xfId="0" applyFont="1" applyFill="1" applyBorder="1" applyAlignment="1">
      <alignment vertical="center"/>
    </xf>
    <xf numFmtId="0" fontId="20" fillId="5" borderId="60" xfId="0" applyFont="1" applyFill="1" applyBorder="1" applyAlignment="1">
      <alignment horizontal="left" vertical="center"/>
    </xf>
    <xf numFmtId="0" fontId="18" fillId="4" borderId="24" xfId="0" applyFont="1" applyFill="1" applyBorder="1" applyAlignment="1">
      <alignment vertical="center"/>
    </xf>
    <xf numFmtId="0" fontId="7" fillId="0" borderId="43" xfId="0" applyFont="1" applyBorder="1" applyAlignment="1">
      <alignment horizontal="left" wrapText="1"/>
    </xf>
    <xf numFmtId="0" fontId="7" fillId="4" borderId="40" xfId="0" applyFont="1" applyFill="1" applyBorder="1" applyAlignment="1"/>
    <xf numFmtId="0" fontId="7" fillId="0" borderId="9" xfId="0" applyFont="1" applyBorder="1" applyAlignment="1" applyProtection="1">
      <alignment horizontal="center"/>
      <protection locked="0"/>
    </xf>
    <xf numFmtId="0" fontId="8" fillId="6" borderId="178" xfId="0" applyFont="1" applyFill="1" applyBorder="1" applyAlignment="1">
      <alignment horizontal="center"/>
    </xf>
    <xf numFmtId="0" fontId="8" fillId="6" borderId="77" xfId="0" applyFont="1" applyFill="1" applyBorder="1" applyAlignment="1">
      <alignment horizontal="center"/>
    </xf>
    <xf numFmtId="0" fontId="8" fillId="2" borderId="43" xfId="0" applyFont="1" applyFill="1" applyBorder="1" applyAlignment="1"/>
    <xf numFmtId="0" fontId="7" fillId="10" borderId="43" xfId="0" applyFont="1" applyFill="1" applyBorder="1" applyAlignment="1">
      <alignment horizontal="left" wrapText="1"/>
    </xf>
    <xf numFmtId="0" fontId="7" fillId="5" borderId="22" xfId="0" applyFont="1" applyFill="1" applyBorder="1" applyAlignment="1">
      <alignment horizontal="left" wrapText="1"/>
    </xf>
    <xf numFmtId="0" fontId="7" fillId="4" borderId="24" xfId="0" applyFont="1" applyFill="1" applyBorder="1" applyAlignment="1"/>
    <xf numFmtId="0" fontId="7" fillId="0" borderId="6" xfId="0" applyFont="1" applyBorder="1" applyAlignment="1" applyProtection="1">
      <alignment horizontal="center" wrapText="1"/>
      <protection locked="0"/>
    </xf>
    <xf numFmtId="0" fontId="8" fillId="6" borderId="65" xfId="0" applyFont="1" applyFill="1" applyBorder="1" applyAlignment="1">
      <alignment horizontal="center"/>
    </xf>
    <xf numFmtId="0" fontId="7" fillId="2" borderId="22" xfId="0" applyFont="1" applyFill="1" applyBorder="1" applyAlignment="1"/>
    <xf numFmtId="0" fontId="7" fillId="10" borderId="22" xfId="0" applyFont="1" applyFill="1" applyBorder="1" applyAlignment="1">
      <alignment horizontal="left" wrapText="1"/>
    </xf>
    <xf numFmtId="0" fontId="48" fillId="5" borderId="22" xfId="0" applyFont="1" applyFill="1" applyBorder="1" applyAlignment="1">
      <alignment horizontal="left" wrapText="1"/>
    </xf>
    <xf numFmtId="49" fontId="8" fillId="6" borderId="22" xfId="0" applyNumberFormat="1" applyFont="1" applyFill="1" applyBorder="1" applyAlignment="1">
      <alignment horizontal="left" wrapText="1"/>
    </xf>
    <xf numFmtId="49" fontId="14" fillId="4" borderId="7" xfId="1" applyNumberFormat="1" applyFont="1" applyFill="1" applyBorder="1" applyAlignment="1">
      <alignment horizontal="center"/>
    </xf>
    <xf numFmtId="49" fontId="14" fillId="4" borderId="6" xfId="1" applyNumberFormat="1" applyFont="1" applyFill="1" applyBorder="1" applyAlignment="1">
      <alignment horizontal="center"/>
    </xf>
    <xf numFmtId="0" fontId="7" fillId="3" borderId="6" xfId="0" applyFont="1" applyFill="1" applyBorder="1" applyAlignment="1" applyProtection="1">
      <alignment horizontal="center"/>
    </xf>
    <xf numFmtId="0" fontId="7" fillId="5" borderId="6" xfId="0" applyFont="1" applyFill="1" applyBorder="1" applyAlignment="1" applyProtection="1">
      <alignment horizontal="center"/>
      <protection locked="0"/>
    </xf>
    <xf numFmtId="0" fontId="8" fillId="2" borderId="22" xfId="0" applyFont="1" applyFill="1" applyBorder="1" applyAlignment="1"/>
    <xf numFmtId="0" fontId="7" fillId="10" borderId="22" xfId="0" applyFont="1" applyFill="1" applyBorder="1" applyAlignment="1">
      <alignment horizontal="left"/>
    </xf>
    <xf numFmtId="0" fontId="7" fillId="0" borderId="6" xfId="0" applyFont="1" applyBorder="1" applyAlignment="1" applyProtection="1">
      <alignment horizontal="center"/>
      <protection locked="0"/>
    </xf>
    <xf numFmtId="49" fontId="8" fillId="6" borderId="42" xfId="0" applyNumberFormat="1" applyFont="1" applyFill="1" applyBorder="1" applyAlignment="1">
      <alignment horizontal="left" wrapText="1"/>
    </xf>
    <xf numFmtId="0" fontId="7" fillId="4" borderId="41" xfId="0" applyFont="1" applyFill="1" applyBorder="1" applyAlignment="1"/>
    <xf numFmtId="49" fontId="14" fillId="4" borderId="35" xfId="1" applyNumberFormat="1" applyFont="1" applyFill="1" applyBorder="1" applyAlignment="1">
      <alignment horizontal="center"/>
    </xf>
    <xf numFmtId="49" fontId="14" fillId="4" borderId="8" xfId="1" applyNumberFormat="1" applyFont="1" applyFill="1" applyBorder="1" applyAlignment="1">
      <alignment horizontal="center"/>
    </xf>
    <xf numFmtId="0" fontId="7" fillId="3" borderId="8" xfId="0" applyFont="1" applyFill="1" applyBorder="1" applyAlignment="1" applyProtection="1">
      <alignment horizontal="center"/>
    </xf>
    <xf numFmtId="0" fontId="8" fillId="6" borderId="174" xfId="0" applyFont="1" applyFill="1" applyBorder="1" applyAlignment="1">
      <alignment horizontal="center"/>
    </xf>
    <xf numFmtId="0" fontId="7" fillId="2" borderId="22" xfId="0" applyFont="1" applyFill="1" applyBorder="1" applyAlignment="1">
      <alignment horizontal="left"/>
    </xf>
    <xf numFmtId="0" fontId="7" fillId="5" borderId="27" xfId="0" applyFont="1" applyFill="1" applyBorder="1" applyAlignment="1">
      <alignment horizontal="left" wrapText="1"/>
    </xf>
    <xf numFmtId="0" fontId="7" fillId="4" borderId="23" xfId="0" applyFont="1" applyFill="1" applyBorder="1" applyAlignment="1"/>
    <xf numFmtId="0" fontId="7" fillId="0" borderId="11" xfId="0" applyFont="1" applyBorder="1" applyAlignment="1" applyProtection="1">
      <alignment horizontal="center"/>
      <protection locked="0"/>
    </xf>
    <xf numFmtId="0" fontId="8" fillId="6" borderId="64" xfId="0" applyFont="1" applyFill="1" applyBorder="1" applyAlignment="1">
      <alignment horizontal="center"/>
    </xf>
    <xf numFmtId="0" fontId="7" fillId="5" borderId="28" xfId="0" applyFont="1" applyFill="1" applyBorder="1" applyAlignment="1">
      <alignment horizontal="left" wrapText="1"/>
    </xf>
    <xf numFmtId="49" fontId="8" fillId="6" borderId="29" xfId="0" applyNumberFormat="1" applyFont="1" applyFill="1" applyBorder="1" applyAlignment="1">
      <alignment horizontal="left" wrapText="1"/>
    </xf>
    <xf numFmtId="0" fontId="7" fillId="4" borderId="25" xfId="0" applyFont="1" applyFill="1" applyBorder="1" applyAlignment="1"/>
    <xf numFmtId="0" fontId="7" fillId="3" borderId="14" xfId="0" applyFont="1" applyFill="1" applyBorder="1" applyAlignment="1" applyProtection="1">
      <alignment horizontal="center"/>
    </xf>
    <xf numFmtId="0" fontId="8" fillId="6" borderId="61" xfId="0" applyFont="1" applyFill="1" applyBorder="1" applyAlignment="1">
      <alignment horizontal="center"/>
    </xf>
    <xf numFmtId="0" fontId="49" fillId="0" borderId="28" xfId="0" applyFont="1" applyBorder="1" applyAlignment="1">
      <alignment horizontal="left" vertical="center" wrapText="1"/>
    </xf>
    <xf numFmtId="0" fontId="49" fillId="4" borderId="49" xfId="0" applyFont="1" applyFill="1" applyBorder="1" applyAlignment="1">
      <alignment vertical="center"/>
    </xf>
    <xf numFmtId="0" fontId="49" fillId="4" borderId="28" xfId="0" applyFont="1" applyFill="1" applyBorder="1" applyAlignment="1">
      <alignment vertical="center"/>
    </xf>
    <xf numFmtId="0" fontId="49" fillId="4" borderId="48" xfId="0" applyFont="1" applyFill="1" applyBorder="1" applyAlignment="1">
      <alignment vertical="center"/>
    </xf>
    <xf numFmtId="0" fontId="49" fillId="4" borderId="29" xfId="0" applyFont="1" applyFill="1" applyBorder="1" applyAlignment="1">
      <alignment vertical="center"/>
    </xf>
    <xf numFmtId="0" fontId="7" fillId="0" borderId="297" xfId="0" applyFont="1" applyBorder="1" applyAlignment="1" applyProtection="1">
      <alignment horizontal="center" vertical="center"/>
      <protection locked="0"/>
    </xf>
    <xf numFmtId="0" fontId="7" fillId="0" borderId="206" xfId="0" applyFont="1" applyBorder="1" applyAlignment="1" applyProtection="1">
      <alignment horizontal="center" vertical="center"/>
      <protection locked="0"/>
    </xf>
    <xf numFmtId="0" fontId="8" fillId="6" borderId="10" xfId="0" applyFont="1" applyFill="1" applyBorder="1" applyAlignment="1">
      <alignment horizontal="left" vertical="center" wrapText="1"/>
    </xf>
    <xf numFmtId="0" fontId="7" fillId="12" borderId="49" xfId="0" applyFont="1" applyFill="1" applyBorder="1" applyAlignment="1">
      <alignment horizontal="left" vertical="top" wrapText="1"/>
    </xf>
    <xf numFmtId="0" fontId="7" fillId="6" borderId="54" xfId="0" applyFont="1" applyFill="1" applyBorder="1" applyAlignment="1">
      <alignment horizontal="left" vertical="top" wrapText="1"/>
    </xf>
    <xf numFmtId="0" fontId="7" fillId="5" borderId="59" xfId="0" applyFont="1" applyFill="1" applyBorder="1" applyAlignment="1">
      <alignment horizontal="left" vertical="top" wrapText="1"/>
    </xf>
    <xf numFmtId="0" fontId="7" fillId="5" borderId="60" xfId="0" applyFont="1" applyFill="1" applyBorder="1" applyAlignment="1">
      <alignment horizontal="left" vertical="top" wrapText="1"/>
    </xf>
    <xf numFmtId="0" fontId="7" fillId="5" borderId="10" xfId="0" applyFont="1" applyFill="1" applyBorder="1" applyAlignment="1">
      <alignment horizontal="left" vertical="top" wrapText="1"/>
    </xf>
    <xf numFmtId="0" fontId="8" fillId="0" borderId="25" xfId="0" applyFont="1" applyBorder="1" applyAlignment="1">
      <alignment horizontal="left" vertical="center" wrapText="1"/>
    </xf>
    <xf numFmtId="0" fontId="8" fillId="0" borderId="38" xfId="0" applyFont="1" applyBorder="1" applyAlignment="1">
      <alignment horizontal="left" vertical="top"/>
    </xf>
    <xf numFmtId="0" fontId="7" fillId="0" borderId="10" xfId="0" applyFont="1" applyBorder="1" applyAlignment="1">
      <alignment horizontal="left" vertical="top" wrapText="1"/>
    </xf>
    <xf numFmtId="0" fontId="9" fillId="0" borderId="0" xfId="0" applyFont="1" applyAlignment="1">
      <alignment horizontal="left" vertical="top" wrapText="1"/>
    </xf>
    <xf numFmtId="0" fontId="29" fillId="0" borderId="0" xfId="0" applyFont="1" applyAlignment="1">
      <alignment horizontal="left" vertical="top" wrapText="1"/>
    </xf>
    <xf numFmtId="0" fontId="38" fillId="0" borderId="0" xfId="0" applyFont="1" applyAlignment="1">
      <alignment horizontal="left" vertical="top" wrapText="1"/>
    </xf>
    <xf numFmtId="0" fontId="14" fillId="5" borderId="233" xfId="0" applyFont="1" applyFill="1" applyBorder="1" applyAlignment="1">
      <alignment horizontal="left" vertical="center" wrapText="1"/>
    </xf>
    <xf numFmtId="0" fontId="18" fillId="4" borderId="234" xfId="0" applyFont="1" applyFill="1" applyBorder="1" applyAlignment="1">
      <alignment vertical="center"/>
    </xf>
    <xf numFmtId="0" fontId="14" fillId="5" borderId="41" xfId="0" applyFont="1" applyFill="1" applyBorder="1" applyAlignment="1">
      <alignment horizontal="left" vertical="center" wrapText="1"/>
    </xf>
    <xf numFmtId="0" fontId="18" fillId="4" borderId="238" xfId="0" applyFont="1" applyFill="1" applyBorder="1" applyAlignment="1">
      <alignment vertical="center"/>
    </xf>
    <xf numFmtId="0" fontId="14" fillId="0" borderId="213" xfId="0" applyFont="1" applyBorder="1" applyAlignment="1">
      <alignment horizontal="left" vertical="center" wrapText="1"/>
    </xf>
    <xf numFmtId="0" fontId="50" fillId="0" borderId="53" xfId="0" applyFont="1" applyBorder="1" applyAlignment="1">
      <alignment horizontal="left" vertical="center" wrapText="1"/>
    </xf>
    <xf numFmtId="0" fontId="46" fillId="4" borderId="75" xfId="0" applyFont="1" applyFill="1" applyBorder="1" applyAlignment="1">
      <alignment vertical="center"/>
    </xf>
    <xf numFmtId="0" fontId="46" fillId="0" borderId="52" xfId="0" applyFont="1" applyBorder="1" applyAlignment="1">
      <alignment horizontal="left" vertical="center" wrapText="1"/>
    </xf>
    <xf numFmtId="0" fontId="18" fillId="0" borderId="53" xfId="0" applyFont="1" applyBorder="1" applyAlignment="1">
      <alignment horizontal="left" vertical="center" wrapText="1"/>
    </xf>
    <xf numFmtId="0" fontId="14" fillId="0" borderId="52" xfId="0" applyFont="1" applyBorder="1" applyAlignment="1">
      <alignment horizontal="left" vertical="center" wrapText="1"/>
    </xf>
    <xf numFmtId="0" fontId="18" fillId="0" borderId="43" xfId="0" applyFont="1" applyBorder="1" applyAlignment="1">
      <alignment horizontal="left" vertical="center" wrapText="1"/>
    </xf>
    <xf numFmtId="0" fontId="18" fillId="0" borderId="224" xfId="0" applyFont="1" applyBorder="1" applyAlignment="1">
      <alignment horizontal="left" vertical="center" wrapText="1"/>
    </xf>
    <xf numFmtId="0" fontId="18" fillId="4" borderId="225" xfId="0" applyFont="1" applyFill="1" applyBorder="1" applyAlignment="1">
      <alignment vertical="center"/>
    </xf>
    <xf numFmtId="0" fontId="18" fillId="0" borderId="170" xfId="0" applyFont="1" applyBorder="1" applyAlignment="1">
      <alignment horizontal="left" vertical="center" wrapText="1"/>
    </xf>
    <xf numFmtId="0" fontId="18" fillId="4" borderId="228" xfId="0" applyFont="1" applyFill="1" applyBorder="1" applyAlignment="1">
      <alignment vertical="center"/>
    </xf>
    <xf numFmtId="0" fontId="18" fillId="0" borderId="40" xfId="0" applyFont="1" applyBorder="1" applyAlignment="1">
      <alignment vertical="top" wrapText="1"/>
    </xf>
    <xf numFmtId="0" fontId="29" fillId="4" borderId="0" xfId="0" applyFont="1" applyFill="1" applyBorder="1" applyAlignment="1">
      <alignment vertical="center" wrapText="1"/>
    </xf>
    <xf numFmtId="0" fontId="51" fillId="0" borderId="75" xfId="0" applyFont="1" applyFill="1" applyBorder="1" applyAlignment="1">
      <alignment horizontal="left" vertical="center" wrapText="1"/>
    </xf>
    <xf numFmtId="0" fontId="51" fillId="0" borderId="75" xfId="0" applyFont="1" applyFill="1" applyBorder="1" applyAlignment="1">
      <alignment vertical="center"/>
    </xf>
    <xf numFmtId="0" fontId="7" fillId="0" borderId="54" xfId="0" applyFont="1" applyBorder="1" applyAlignment="1">
      <alignment horizontal="left" vertical="center" wrapText="1"/>
    </xf>
    <xf numFmtId="0" fontId="7" fillId="4" borderId="215" xfId="0" applyFont="1" applyFill="1" applyBorder="1" applyAlignment="1">
      <alignment vertical="center"/>
    </xf>
    <xf numFmtId="0" fontId="49" fillId="4" borderId="41" xfId="0" applyFont="1" applyFill="1" applyBorder="1" applyAlignment="1">
      <alignment vertical="center"/>
    </xf>
    <xf numFmtId="0" fontId="49" fillId="0" borderId="23" xfId="0" applyFont="1" applyBorder="1" applyAlignment="1">
      <alignment horizontal="left" vertical="center" wrapText="1"/>
    </xf>
    <xf numFmtId="0" fontId="49" fillId="4" borderId="23" xfId="0" applyFont="1" applyFill="1" applyBorder="1" applyAlignment="1">
      <alignment vertical="center"/>
    </xf>
    <xf numFmtId="0" fontId="49" fillId="0" borderId="25" xfId="0" applyFont="1" applyBorder="1" applyAlignment="1">
      <alignment horizontal="left" vertical="center" wrapText="1"/>
    </xf>
    <xf numFmtId="0" fontId="49" fillId="4" borderId="60" xfId="0" applyFont="1" applyFill="1" applyBorder="1" applyAlignment="1">
      <alignment vertical="center"/>
    </xf>
    <xf numFmtId="0" fontId="49" fillId="0" borderId="49" xfId="0" applyFont="1" applyBorder="1" applyAlignment="1">
      <alignment horizontal="left" vertical="center" wrapText="1"/>
    </xf>
    <xf numFmtId="0" fontId="49" fillId="5" borderId="60" xfId="0" applyFont="1" applyFill="1" applyBorder="1" applyAlignment="1">
      <alignment horizontal="left" vertical="center"/>
    </xf>
    <xf numFmtId="0" fontId="7" fillId="0" borderId="48" xfId="0" applyFont="1" applyBorder="1" applyAlignment="1">
      <alignment horizontal="left" vertical="center" wrapText="1"/>
    </xf>
    <xf numFmtId="0" fontId="49" fillId="0" borderId="181" xfId="0" applyFont="1" applyBorder="1" applyAlignment="1">
      <alignment horizontal="left" vertical="center" wrapText="1"/>
    </xf>
    <xf numFmtId="0" fontId="49" fillId="0" borderId="182" xfId="0" applyFont="1" applyBorder="1" applyAlignment="1">
      <alignment horizontal="left" vertical="center" wrapText="1"/>
    </xf>
    <xf numFmtId="0" fontId="49" fillId="0" borderId="183" xfId="0" applyFont="1" applyBorder="1" applyAlignment="1">
      <alignment horizontal="left" vertical="center" wrapText="1"/>
    </xf>
    <xf numFmtId="0" fontId="49" fillId="5" borderId="22" xfId="0" applyFont="1" applyFill="1" applyBorder="1" applyAlignment="1">
      <alignment horizontal="left"/>
    </xf>
    <xf numFmtId="0" fontId="49" fillId="4" borderId="24" xfId="0" applyFont="1" applyFill="1" applyBorder="1" applyAlignment="1"/>
    <xf numFmtId="0" fontId="7" fillId="4" borderId="61" xfId="0" applyFont="1" applyFill="1" applyBorder="1" applyAlignment="1">
      <alignment vertical="center"/>
    </xf>
    <xf numFmtId="0" fontId="7" fillId="4" borderId="225" xfId="0" applyFont="1" applyFill="1" applyBorder="1" applyAlignment="1">
      <alignment vertical="center"/>
    </xf>
    <xf numFmtId="0" fontId="7" fillId="4" borderId="228" xfId="0" applyFont="1" applyFill="1" applyBorder="1" applyAlignment="1">
      <alignment vertical="center"/>
    </xf>
    <xf numFmtId="0" fontId="8" fillId="6" borderId="40" xfId="0" applyFont="1" applyFill="1" applyBorder="1" applyAlignment="1">
      <alignment horizontal="center" vertical="center"/>
    </xf>
    <xf numFmtId="0" fontId="52" fillId="4" borderId="27" xfId="0" applyFont="1" applyFill="1" applyBorder="1" applyAlignment="1">
      <alignment vertical="center"/>
    </xf>
    <xf numFmtId="0" fontId="52" fillId="4" borderId="44" xfId="0" applyFont="1" applyFill="1" applyBorder="1" applyAlignment="1">
      <alignment vertical="center"/>
    </xf>
    <xf numFmtId="0" fontId="52" fillId="4" borderId="79" xfId="0" applyFont="1" applyFill="1" applyBorder="1" applyAlignment="1">
      <alignment vertical="center"/>
    </xf>
    <xf numFmtId="0" fontId="38" fillId="12" borderId="75" xfId="0" applyFont="1" applyFill="1" applyBorder="1" applyAlignment="1"/>
    <xf numFmtId="0" fontId="38" fillId="5" borderId="75" xfId="0" applyFont="1" applyFill="1" applyBorder="1" applyAlignment="1"/>
    <xf numFmtId="0" fontId="38" fillId="12" borderId="97" xfId="0" applyFont="1" applyFill="1" applyBorder="1" applyAlignment="1"/>
    <xf numFmtId="0" fontId="38" fillId="12" borderId="177" xfId="0" applyFont="1" applyFill="1" applyBorder="1" applyAlignment="1"/>
    <xf numFmtId="0" fontId="15" fillId="2" borderId="59" xfId="0" applyFont="1" applyFill="1" applyBorder="1" applyAlignment="1">
      <alignment horizontal="left" vertical="top" wrapText="1"/>
    </xf>
    <xf numFmtId="0" fontId="15" fillId="2" borderId="49" xfId="0" applyFont="1" applyFill="1" applyBorder="1" applyAlignment="1">
      <alignment horizontal="left" vertical="top" wrapText="1"/>
    </xf>
    <xf numFmtId="0" fontId="15" fillId="2" borderId="60" xfId="0" applyFont="1" applyFill="1" applyBorder="1" applyAlignment="1">
      <alignment horizontal="left" vertical="top" wrapText="1"/>
    </xf>
    <xf numFmtId="0" fontId="8" fillId="6" borderId="185" xfId="0" applyFont="1" applyFill="1" applyBorder="1" applyAlignment="1">
      <alignment horizontal="center" vertical="center"/>
    </xf>
    <xf numFmtId="0" fontId="19" fillId="0" borderId="72" xfId="0" applyFont="1" applyBorder="1" applyAlignment="1" applyProtection="1">
      <alignment horizontal="center" vertical="center"/>
      <protection locked="0"/>
    </xf>
    <xf numFmtId="0" fontId="19" fillId="0" borderId="13" xfId="0" applyFont="1" applyBorder="1" applyAlignment="1" applyProtection="1">
      <alignment horizontal="center" vertical="center"/>
      <protection locked="0"/>
    </xf>
    <xf numFmtId="0" fontId="7" fillId="0" borderId="15" xfId="0" applyFont="1" applyBorder="1" applyAlignment="1" applyProtection="1">
      <alignment horizontal="center" vertical="center"/>
      <protection locked="0"/>
    </xf>
    <xf numFmtId="0" fontId="11" fillId="0" borderId="73" xfId="0" applyFont="1" applyBorder="1" applyAlignment="1" applyProtection="1">
      <alignment horizontal="center" vertical="center"/>
      <protection locked="0"/>
    </xf>
    <xf numFmtId="0" fontId="11" fillId="0" borderId="15" xfId="0" applyFont="1" applyBorder="1" applyAlignment="1" applyProtection="1">
      <alignment horizontal="center" vertical="center"/>
      <protection locked="0"/>
    </xf>
    <xf numFmtId="0" fontId="7" fillId="0" borderId="34" xfId="0" applyFont="1" applyBorder="1" applyAlignment="1" applyProtection="1">
      <alignment horizontal="center" vertical="center"/>
      <protection locked="0"/>
    </xf>
    <xf numFmtId="0" fontId="5" fillId="0" borderId="0" xfId="0" applyFont="1" applyProtection="1">
      <protection locked="0"/>
    </xf>
    <xf numFmtId="0" fontId="7" fillId="2" borderId="22" xfId="0" applyFont="1" applyFill="1" applyBorder="1" applyAlignment="1">
      <alignment horizontal="left" vertical="center"/>
    </xf>
    <xf numFmtId="0" fontId="7" fillId="10" borderId="22" xfId="0" applyFont="1" applyFill="1" applyBorder="1" applyAlignment="1">
      <alignment horizontal="left" vertical="center" wrapText="1"/>
    </xf>
    <xf numFmtId="0" fontId="10" fillId="0" borderId="48" xfId="0" applyFont="1" applyFill="1" applyBorder="1" applyAlignment="1">
      <alignment horizontal="center" vertical="center"/>
    </xf>
    <xf numFmtId="0" fontId="38" fillId="5" borderId="0" xfId="0" applyFont="1" applyFill="1" applyBorder="1" applyAlignment="1">
      <alignment horizontal="center" wrapText="1"/>
    </xf>
    <xf numFmtId="0" fontId="38" fillId="0" borderId="89" xfId="0" applyFont="1" applyBorder="1" applyAlignment="1">
      <alignment vertical="center" wrapText="1"/>
    </xf>
    <xf numFmtId="0" fontId="38" fillId="0" borderId="92" xfId="0" applyFont="1" applyBorder="1" applyAlignment="1">
      <alignment vertical="center" wrapText="1"/>
    </xf>
    <xf numFmtId="0" fontId="7" fillId="0" borderId="59" xfId="0" applyFont="1" applyBorder="1" applyAlignment="1">
      <alignment vertical="top" wrapText="1"/>
    </xf>
    <xf numFmtId="0" fontId="7" fillId="0" borderId="49" xfId="0" applyFont="1" applyBorder="1" applyAlignment="1">
      <alignment vertical="top" wrapText="1"/>
    </xf>
    <xf numFmtId="0" fontId="7" fillId="0" borderId="60" xfId="0" applyFont="1" applyBorder="1" applyAlignment="1">
      <alignment vertical="top" wrapText="1"/>
    </xf>
    <xf numFmtId="0" fontId="38" fillId="5" borderId="91" xfId="0" applyFont="1" applyFill="1" applyBorder="1" applyAlignment="1">
      <alignment vertical="center" wrapText="1"/>
    </xf>
    <xf numFmtId="0" fontId="18" fillId="0" borderId="59" xfId="0" applyFont="1" applyBorder="1" applyAlignment="1">
      <alignment vertical="top" wrapText="1"/>
    </xf>
    <xf numFmtId="0" fontId="18" fillId="0" borderId="60" xfId="0" applyFont="1" applyBorder="1" applyAlignment="1">
      <alignment vertical="top" wrapText="1"/>
    </xf>
    <xf numFmtId="0" fontId="42" fillId="3" borderId="91" xfId="0" applyFont="1" applyFill="1" applyBorder="1" applyAlignment="1">
      <alignment horizontal="left" vertical="center"/>
    </xf>
    <xf numFmtId="0" fontId="42" fillId="3" borderId="75" xfId="0" applyFont="1" applyFill="1" applyBorder="1" applyAlignment="1">
      <alignment horizontal="left" vertical="center"/>
    </xf>
    <xf numFmtId="0" fontId="42" fillId="3" borderId="276" xfId="0" applyFont="1" applyFill="1" applyBorder="1" applyAlignment="1">
      <alignment horizontal="left" vertical="center"/>
    </xf>
    <xf numFmtId="0" fontId="38" fillId="0" borderId="91" xfId="0" applyFont="1" applyBorder="1" applyAlignment="1">
      <alignment vertical="center" wrapText="1"/>
    </xf>
    <xf numFmtId="0" fontId="8" fillId="5" borderId="233" xfId="0" applyFont="1" applyFill="1" applyBorder="1" applyAlignment="1">
      <alignment vertical="center" wrapText="1"/>
    </xf>
    <xf numFmtId="0" fontId="8" fillId="5" borderId="236" xfId="0" applyFont="1" applyFill="1" applyBorder="1" applyAlignment="1">
      <alignment vertical="center" wrapText="1"/>
    </xf>
    <xf numFmtId="0" fontId="14" fillId="5" borderId="233" xfId="0" applyFont="1" applyFill="1" applyBorder="1" applyAlignment="1">
      <alignment vertical="center" wrapText="1"/>
    </xf>
    <xf numFmtId="0" fontId="14" fillId="5" borderId="41" xfId="0" applyFont="1" applyFill="1" applyBorder="1" applyAlignment="1">
      <alignment vertical="center" wrapText="1"/>
    </xf>
    <xf numFmtId="0" fontId="7" fillId="0" borderId="59" xfId="0" applyFont="1" applyBorder="1" applyAlignment="1">
      <alignment vertical="center" wrapText="1"/>
    </xf>
    <xf numFmtId="0" fontId="7" fillId="0" borderId="49" xfId="0" applyFont="1" applyBorder="1" applyAlignment="1">
      <alignment vertical="center" wrapText="1"/>
    </xf>
    <xf numFmtId="0" fontId="7" fillId="0" borderId="60" xfId="0" applyFont="1" applyBorder="1" applyAlignment="1">
      <alignment vertical="center" wrapText="1"/>
    </xf>
    <xf numFmtId="0" fontId="9" fillId="6" borderId="284" xfId="0" applyFont="1" applyFill="1" applyBorder="1" applyAlignment="1">
      <alignment horizontal="left" vertical="top" wrapText="1"/>
    </xf>
    <xf numFmtId="0" fontId="9" fillId="6" borderId="196" xfId="0" applyFont="1" applyFill="1" applyBorder="1" applyAlignment="1">
      <alignment horizontal="left" vertical="top" wrapText="1"/>
    </xf>
    <xf numFmtId="0" fontId="9" fillId="6" borderId="285" xfId="0" applyFont="1" applyFill="1" applyBorder="1" applyAlignment="1">
      <alignment horizontal="left" vertical="top" wrapText="1"/>
    </xf>
    <xf numFmtId="0" fontId="18" fillId="0" borderId="40" xfId="0" applyFont="1" applyBorder="1" applyAlignment="1">
      <alignment vertical="top" wrapText="1"/>
    </xf>
    <xf numFmtId="0" fontId="18" fillId="0" borderId="25" xfId="0" applyFont="1" applyBorder="1" applyAlignment="1">
      <alignment vertical="top" wrapText="1"/>
    </xf>
    <xf numFmtId="0" fontId="18" fillId="0" borderId="23" xfId="0" applyFont="1" applyBorder="1" applyAlignment="1">
      <alignment vertical="top" wrapText="1"/>
    </xf>
    <xf numFmtId="0" fontId="16" fillId="0" borderId="59" xfId="0" applyFont="1" applyBorder="1" applyAlignment="1">
      <alignment horizontal="left" vertical="center" wrapText="1"/>
    </xf>
    <xf numFmtId="0" fontId="16" fillId="0" borderId="49" xfId="0" applyFont="1" applyBorder="1" applyAlignment="1">
      <alignment horizontal="left" vertical="center" wrapText="1"/>
    </xf>
    <xf numFmtId="0" fontId="16" fillId="0" borderId="60" xfId="0" applyFont="1" applyBorder="1" applyAlignment="1">
      <alignment horizontal="left" vertical="center" wrapText="1"/>
    </xf>
    <xf numFmtId="0" fontId="18" fillId="0" borderId="54" xfId="0" applyFont="1" applyBorder="1" applyAlignment="1">
      <alignment vertical="top" wrapText="1"/>
    </xf>
    <xf numFmtId="0" fontId="20" fillId="5" borderId="59" xfId="0" applyFont="1" applyFill="1" applyBorder="1" applyAlignment="1">
      <alignment horizontal="left" vertical="center" wrapText="1"/>
    </xf>
    <xf numFmtId="0" fontId="20" fillId="5" borderId="60" xfId="0" applyFont="1" applyFill="1" applyBorder="1" applyAlignment="1">
      <alignment horizontal="left" vertical="center" wrapText="1"/>
    </xf>
    <xf numFmtId="0" fontId="20" fillId="5" borderId="59" xfId="0" applyFont="1" applyFill="1" applyBorder="1" applyAlignment="1">
      <alignment horizontal="left" vertical="top" wrapText="1"/>
    </xf>
    <xf numFmtId="0" fontId="20" fillId="5" borderId="60" xfId="0" applyFont="1" applyFill="1" applyBorder="1" applyAlignment="1">
      <alignment horizontal="left" vertical="top" wrapText="1"/>
    </xf>
    <xf numFmtId="0" fontId="20" fillId="5" borderId="49" xfId="0" applyFont="1" applyFill="1" applyBorder="1" applyAlignment="1">
      <alignment horizontal="left" vertical="center" wrapText="1"/>
    </xf>
    <xf numFmtId="0" fontId="29" fillId="5" borderId="2" xfId="0" applyFont="1" applyFill="1" applyBorder="1" applyAlignment="1">
      <alignment horizontal="center"/>
    </xf>
    <xf numFmtId="0" fontId="29" fillId="5" borderId="3" xfId="0" applyFont="1" applyFill="1" applyBorder="1" applyAlignment="1">
      <alignment horizontal="center"/>
    </xf>
    <xf numFmtId="0" fontId="42" fillId="3" borderId="290" xfId="0" applyFont="1" applyFill="1" applyBorder="1" applyAlignment="1">
      <alignment horizontal="left" vertical="center"/>
    </xf>
    <xf numFmtId="0" fontId="42" fillId="3" borderId="144" xfId="0" applyFont="1" applyFill="1" applyBorder="1" applyAlignment="1">
      <alignment horizontal="left" vertical="center"/>
    </xf>
    <xf numFmtId="0" fontId="42" fillId="3" borderId="291" xfId="0" applyFont="1" applyFill="1" applyBorder="1" applyAlignment="1">
      <alignment horizontal="left" vertical="center"/>
    </xf>
    <xf numFmtId="0" fontId="42" fillId="3" borderId="287" xfId="0" applyFont="1" applyFill="1" applyBorder="1" applyAlignment="1">
      <alignment horizontal="left" vertical="center"/>
    </xf>
    <xf numFmtId="0" fontId="42" fillId="3" borderId="177" xfId="0" applyFont="1" applyFill="1" applyBorder="1" applyAlignment="1">
      <alignment horizontal="left" vertical="center"/>
    </xf>
    <xf numFmtId="0" fontId="42" fillId="3" borderId="283" xfId="0" applyFont="1" applyFill="1" applyBorder="1" applyAlignment="1">
      <alignment horizontal="left" vertical="center"/>
    </xf>
    <xf numFmtId="0" fontId="42" fillId="3" borderId="288" xfId="0" applyFont="1" applyFill="1" applyBorder="1" applyAlignment="1">
      <alignment horizontal="left" vertical="center"/>
    </xf>
    <xf numFmtId="0" fontId="42" fillId="3" borderId="273" xfId="0" applyFont="1" applyFill="1" applyBorder="1" applyAlignment="1">
      <alignment horizontal="left" vertical="center"/>
    </xf>
    <xf numFmtId="0" fontId="42" fillId="3" borderId="289" xfId="0" applyFont="1" applyFill="1" applyBorder="1" applyAlignment="1">
      <alignment horizontal="left" vertical="center"/>
    </xf>
    <xf numFmtId="0" fontId="38" fillId="0" borderId="286" xfId="0" applyFont="1" applyBorder="1" applyAlignment="1">
      <alignment vertical="center" wrapText="1"/>
    </xf>
    <xf numFmtId="0" fontId="42" fillId="3" borderId="46" xfId="0" applyFont="1" applyFill="1" applyBorder="1" applyAlignment="1">
      <alignment horizontal="left" vertical="center"/>
    </xf>
    <xf numFmtId="0" fontId="42" fillId="3" borderId="94" xfId="0" applyFont="1" applyFill="1" applyBorder="1" applyAlignment="1">
      <alignment horizontal="left" vertical="center"/>
    </xf>
    <xf numFmtId="0" fontId="42" fillId="3" borderId="95" xfId="0" applyFont="1" applyFill="1" applyBorder="1" applyAlignment="1">
      <alignment horizontal="left" vertical="center"/>
    </xf>
    <xf numFmtId="0" fontId="38" fillId="12" borderId="56" xfId="0" applyFont="1" applyFill="1" applyBorder="1" applyAlignment="1">
      <alignment vertical="center"/>
    </xf>
    <xf numFmtId="0" fontId="38" fillId="12" borderId="57" xfId="0" applyFont="1" applyFill="1" applyBorder="1" applyAlignment="1">
      <alignment vertical="center"/>
    </xf>
    <xf numFmtId="0" fontId="38" fillId="12" borderId="58" xfId="0" applyFont="1" applyFill="1" applyBorder="1" applyAlignment="1">
      <alignment vertical="center"/>
    </xf>
    <xf numFmtId="0" fontId="42" fillId="3" borderId="279" xfId="0" applyFont="1" applyFill="1" applyBorder="1" applyAlignment="1">
      <alignment horizontal="left" vertical="center"/>
    </xf>
    <xf numFmtId="0" fontId="42" fillId="3" borderId="100" xfId="0" applyFont="1" applyFill="1" applyBorder="1" applyAlignment="1">
      <alignment horizontal="left" vertical="center"/>
    </xf>
    <xf numFmtId="0" fontId="42" fillId="3" borderId="280" xfId="0" applyFont="1" applyFill="1" applyBorder="1" applyAlignment="1">
      <alignment horizontal="left" vertical="center"/>
    </xf>
    <xf numFmtId="0" fontId="38" fillId="0" borderId="281" xfId="0" applyFont="1" applyBorder="1" applyAlignment="1">
      <alignment vertical="center" wrapText="1"/>
    </xf>
    <xf numFmtId="0" fontId="38" fillId="0" borderId="57" xfId="0" applyFont="1" applyBorder="1" applyAlignment="1">
      <alignment vertical="center" wrapText="1"/>
    </xf>
    <xf numFmtId="0" fontId="38" fillId="0" borderId="193" xfId="0" applyFont="1" applyBorder="1" applyAlignment="1">
      <alignment vertical="center" wrapText="1"/>
    </xf>
    <xf numFmtId="0" fontId="38" fillId="0" borderId="58" xfId="0" applyFont="1" applyBorder="1" applyAlignment="1">
      <alignment vertical="center" wrapText="1"/>
    </xf>
    <xf numFmtId="0" fontId="38" fillId="12" borderId="89" xfId="0" applyFont="1" applyFill="1" applyBorder="1" applyAlignment="1">
      <alignment vertical="center"/>
    </xf>
    <xf numFmtId="0" fontId="38" fillId="12" borderId="91" xfId="0" applyFont="1" applyFill="1" applyBorder="1" applyAlignment="1">
      <alignment vertical="center"/>
    </xf>
    <xf numFmtId="0" fontId="38" fillId="12" borderId="92" xfId="0" applyFont="1" applyFill="1" applyBorder="1" applyAlignment="1">
      <alignment vertical="center"/>
    </xf>
    <xf numFmtId="0" fontId="42" fillId="3" borderId="286" xfId="0" applyFont="1" applyFill="1" applyBorder="1" applyAlignment="1">
      <alignment horizontal="left" vertical="center"/>
    </xf>
    <xf numFmtId="0" fontId="42" fillId="3" borderId="88" xfId="0" applyFont="1" applyFill="1" applyBorder="1" applyAlignment="1">
      <alignment horizontal="left" vertical="center"/>
    </xf>
    <xf numFmtId="0" fontId="42" fillId="5" borderId="91" xfId="0" applyFont="1" applyFill="1" applyBorder="1" applyAlignment="1">
      <alignment vertical="center" wrapText="1"/>
    </xf>
    <xf numFmtId="0" fontId="29" fillId="5" borderId="91" xfId="0" applyFont="1" applyFill="1" applyBorder="1" applyAlignment="1">
      <alignment vertical="center" wrapText="1"/>
    </xf>
    <xf numFmtId="0" fontId="29" fillId="0" borderId="91" xfId="0" applyFont="1" applyBorder="1" applyAlignment="1">
      <alignment vertical="center" wrapText="1"/>
    </xf>
    <xf numFmtId="0" fontId="29" fillId="0" borderId="287" xfId="0" applyFont="1" applyBorder="1" applyAlignment="1">
      <alignment horizontal="left" vertical="center" wrapText="1"/>
    </xf>
    <xf numFmtId="0" fontId="29" fillId="0" borderId="279" xfId="0" applyFont="1" applyBorder="1" applyAlignment="1">
      <alignment horizontal="left" vertical="center" wrapText="1"/>
    </xf>
    <xf numFmtId="0" fontId="29" fillId="0" borderId="286" xfId="0" applyFont="1" applyBorder="1" applyAlignment="1">
      <alignment horizontal="left" vertical="center" wrapText="1"/>
    </xf>
    <xf numFmtId="0" fontId="29" fillId="0" borderId="292" xfId="0" applyFont="1" applyBorder="1" applyAlignment="1">
      <alignment horizontal="left" vertical="center" wrapText="1"/>
    </xf>
    <xf numFmtId="0" fontId="29" fillId="0" borderId="48" xfId="0" applyFont="1" applyBorder="1" applyAlignment="1">
      <alignment horizontal="left" vertical="center" wrapText="1"/>
    </xf>
    <xf numFmtId="0" fontId="29" fillId="0" borderId="288" xfId="0" applyFont="1" applyBorder="1" applyAlignment="1">
      <alignment horizontal="left" vertical="center" wrapText="1"/>
    </xf>
    <xf numFmtId="0" fontId="7" fillId="0" borderId="54" xfId="0" applyFont="1" applyBorder="1" applyAlignment="1">
      <alignment vertical="center" wrapText="1"/>
    </xf>
    <xf numFmtId="0" fontId="7" fillId="0" borderId="48" xfId="0" applyFont="1" applyBorder="1" applyAlignment="1">
      <alignment vertical="center" wrapText="1"/>
    </xf>
    <xf numFmtId="0" fontId="7" fillId="0" borderId="79" xfId="0" applyFont="1" applyBorder="1" applyAlignment="1">
      <alignment vertical="center" wrapText="1"/>
    </xf>
    <xf numFmtId="0" fontId="29" fillId="0" borderId="91" xfId="0" applyFont="1" applyFill="1" applyBorder="1" applyAlignment="1">
      <alignment vertical="center" wrapText="1"/>
    </xf>
    <xf numFmtId="0" fontId="7" fillId="0" borderId="23" xfId="0" applyFont="1" applyBorder="1" applyAlignment="1">
      <alignment vertical="top" wrapText="1"/>
    </xf>
    <xf numFmtId="0" fontId="7" fillId="0" borderId="41" xfId="0" applyFont="1" applyBorder="1" applyAlignment="1">
      <alignment vertical="top" wrapText="1"/>
    </xf>
    <xf numFmtId="0" fontId="7" fillId="0" borderId="54" xfId="0" applyFont="1" applyBorder="1" applyAlignment="1">
      <alignment vertical="top" wrapText="1"/>
    </xf>
    <xf numFmtId="0" fontId="7" fillId="0" borderId="79" xfId="0" applyFont="1" applyBorder="1" applyAlignment="1">
      <alignment vertical="top" wrapText="1"/>
    </xf>
    <xf numFmtId="0" fontId="20" fillId="0" borderId="59" xfId="0" applyFont="1" applyBorder="1" applyAlignment="1">
      <alignment horizontal="left" vertical="center" wrapText="1"/>
    </xf>
    <xf numFmtId="0" fontId="20" fillId="0" borderId="49" xfId="0" applyFont="1" applyBorder="1" applyAlignment="1">
      <alignment horizontal="left" vertical="center" wrapText="1"/>
    </xf>
    <xf numFmtId="0" fontId="20" fillId="0" borderId="60" xfId="0" applyFont="1" applyBorder="1" applyAlignment="1">
      <alignment horizontal="left" vertical="center" wrapText="1"/>
    </xf>
    <xf numFmtId="0" fontId="29" fillId="0" borderId="287" xfId="0" applyFont="1" applyBorder="1" applyAlignment="1">
      <alignment horizontal="center" vertical="center" wrapText="1"/>
    </xf>
    <xf numFmtId="0" fontId="29" fillId="0" borderId="286" xfId="0" applyFont="1" applyBorder="1" applyAlignment="1">
      <alignment horizontal="center" vertical="center" wrapText="1"/>
    </xf>
    <xf numFmtId="0" fontId="49" fillId="0" borderId="59" xfId="0" applyFont="1" applyBorder="1" applyAlignment="1">
      <alignment horizontal="left" vertical="center" wrapText="1"/>
    </xf>
    <xf numFmtId="0" fontId="49" fillId="0" borderId="49" xfId="0" applyFont="1" applyBorder="1" applyAlignment="1">
      <alignment horizontal="left" vertical="center" wrapText="1"/>
    </xf>
    <xf numFmtId="0" fontId="49" fillId="0" borderId="60" xfId="0" applyFont="1" applyBorder="1" applyAlignment="1">
      <alignment horizontal="left" vertical="center" wrapText="1"/>
    </xf>
    <xf numFmtId="0" fontId="29" fillId="0" borderId="279" xfId="0" applyFont="1" applyBorder="1" applyAlignment="1">
      <alignment horizontal="center" vertical="center" wrapText="1"/>
    </xf>
    <xf numFmtId="0" fontId="7" fillId="0" borderId="91" xfId="0" applyFont="1" applyBorder="1" applyAlignment="1">
      <alignment horizontal="left" vertical="top" wrapText="1"/>
    </xf>
    <xf numFmtId="0" fontId="18" fillId="5" borderId="91" xfId="0" applyFont="1" applyFill="1" applyBorder="1" applyAlignment="1">
      <alignment vertical="top" wrapText="1"/>
    </xf>
    <xf numFmtId="0" fontId="7" fillId="0" borderId="40" xfId="0" applyFont="1" applyBorder="1" applyAlignment="1">
      <alignment horizontal="left" vertical="top" wrapText="1"/>
    </xf>
    <xf numFmtId="0" fontId="7" fillId="0" borderId="25" xfId="0" applyFont="1" applyBorder="1" applyAlignment="1">
      <alignment horizontal="left" vertical="top" wrapText="1"/>
    </xf>
    <xf numFmtId="0" fontId="18" fillId="5" borderId="23" xfId="0" applyFont="1" applyFill="1" applyBorder="1" applyAlignment="1">
      <alignment horizontal="left" vertical="top" wrapText="1"/>
    </xf>
    <xf numFmtId="0" fontId="18" fillId="5" borderId="25" xfId="0" applyFont="1" applyFill="1" applyBorder="1" applyAlignment="1">
      <alignment horizontal="left" vertical="top" wrapText="1"/>
    </xf>
    <xf numFmtId="0" fontId="18" fillId="5" borderId="41" xfId="0" applyFont="1" applyFill="1" applyBorder="1" applyAlignment="1">
      <alignment horizontal="left" vertical="top" wrapText="1"/>
    </xf>
    <xf numFmtId="0" fontId="9" fillId="3" borderId="55" xfId="0" applyFont="1" applyFill="1" applyBorder="1" applyAlignment="1">
      <alignment horizontal="left" vertical="center"/>
    </xf>
    <xf numFmtId="0" fontId="9" fillId="3" borderId="63" xfId="0" applyFont="1" applyFill="1" applyBorder="1" applyAlignment="1">
      <alignment horizontal="left" vertical="center"/>
    </xf>
    <xf numFmtId="0" fontId="9" fillId="3" borderId="172" xfId="0" applyFont="1" applyFill="1" applyBorder="1" applyAlignment="1">
      <alignment horizontal="left" vertical="center"/>
    </xf>
    <xf numFmtId="0" fontId="9" fillId="3" borderId="16" xfId="0" applyFont="1" applyFill="1" applyBorder="1" applyAlignment="1">
      <alignment horizontal="left" vertical="center"/>
    </xf>
    <xf numFmtId="0" fontId="9" fillId="3" borderId="18" xfId="0" applyFont="1" applyFill="1" applyBorder="1" applyAlignment="1">
      <alignment horizontal="left" vertical="center"/>
    </xf>
    <xf numFmtId="0" fontId="9" fillId="3" borderId="51" xfId="0" applyFont="1" applyFill="1" applyBorder="1" applyAlignment="1">
      <alignment horizontal="left" vertical="center"/>
    </xf>
    <xf numFmtId="0" fontId="9" fillId="3" borderId="17" xfId="0" applyFont="1" applyFill="1" applyBorder="1" applyAlignment="1">
      <alignment horizontal="left" vertical="center"/>
    </xf>
    <xf numFmtId="0" fontId="22" fillId="2" borderId="59" xfId="0" applyFont="1" applyFill="1" applyBorder="1" applyAlignment="1">
      <alignment horizontal="center" vertical="top" wrapText="1"/>
    </xf>
    <xf numFmtId="0" fontId="22" fillId="2" borderId="49" xfId="0" applyFont="1" applyFill="1" applyBorder="1" applyAlignment="1">
      <alignment horizontal="center" vertical="top" wrapText="1"/>
    </xf>
    <xf numFmtId="0" fontId="22" fillId="2" borderId="60" xfId="0" applyFont="1" applyFill="1" applyBorder="1" applyAlignment="1">
      <alignment horizontal="center" vertical="top" wrapText="1"/>
    </xf>
    <xf numFmtId="0" fontId="8" fillId="0" borderId="59" xfId="0" applyFont="1" applyBorder="1" applyAlignment="1">
      <alignment horizontal="left" vertical="center" wrapText="1"/>
    </xf>
    <xf numFmtId="0" fontId="8" fillId="0" borderId="49" xfId="0" applyFont="1" applyBorder="1" applyAlignment="1">
      <alignment horizontal="left" vertical="center" wrapText="1"/>
    </xf>
    <xf numFmtId="0" fontId="8" fillId="0" borderId="60" xfId="0" applyFont="1" applyBorder="1" applyAlignment="1">
      <alignment horizontal="left" vertical="center" wrapText="1"/>
    </xf>
    <xf numFmtId="0" fontId="8" fillId="8" borderId="27" xfId="0" applyFont="1" applyFill="1" applyBorder="1" applyAlignment="1">
      <alignment horizontal="center" vertical="center" wrapText="1"/>
    </xf>
    <xf numFmtId="0" fontId="8" fillId="8" borderId="29" xfId="0" applyFont="1" applyFill="1" applyBorder="1" applyAlignment="1">
      <alignment horizontal="center" vertical="center" wrapText="1"/>
    </xf>
    <xf numFmtId="0" fontId="7" fillId="10" borderId="54" xfId="0" applyFont="1" applyFill="1" applyBorder="1" applyAlignment="1">
      <alignment horizontal="left" vertical="top" wrapText="1"/>
    </xf>
    <xf numFmtId="0" fontId="7" fillId="10" borderId="48" xfId="0" applyFont="1" applyFill="1" applyBorder="1" applyAlignment="1">
      <alignment horizontal="left" vertical="top" wrapText="1"/>
    </xf>
    <xf numFmtId="0" fontId="7" fillId="10" borderId="79" xfId="0" applyFont="1" applyFill="1" applyBorder="1" applyAlignment="1">
      <alignment horizontal="left" vertical="top" wrapText="1"/>
    </xf>
    <xf numFmtId="0" fontId="8" fillId="8" borderId="22" xfId="0" applyFont="1" applyFill="1" applyBorder="1" applyAlignment="1">
      <alignment horizontal="center" vertical="center"/>
    </xf>
    <xf numFmtId="0" fontId="8" fillId="10" borderId="44" xfId="0" applyFont="1" applyFill="1" applyBorder="1" applyAlignment="1">
      <alignment horizontal="left" vertical="top" wrapText="1"/>
    </xf>
    <xf numFmtId="0" fontId="8" fillId="10" borderId="28" xfId="0" applyFont="1" applyFill="1" applyBorder="1" applyAlignment="1">
      <alignment horizontal="left" vertical="top" wrapText="1"/>
    </xf>
    <xf numFmtId="0" fontId="8" fillId="10" borderId="50" xfId="0" applyFont="1" applyFill="1" applyBorder="1" applyAlignment="1">
      <alignment horizontal="left" vertical="top" wrapText="1"/>
    </xf>
    <xf numFmtId="0" fontId="7" fillId="0" borderId="23" xfId="0" applyFont="1" applyBorder="1" applyAlignment="1">
      <alignment horizontal="left" vertical="top" wrapText="1"/>
    </xf>
    <xf numFmtId="0" fontId="12" fillId="7" borderId="23" xfId="0" applyFont="1" applyFill="1" applyBorder="1" applyAlignment="1">
      <alignment horizontal="center" vertical="center" wrapText="1"/>
    </xf>
    <xf numFmtId="0" fontId="12" fillId="7" borderId="25" xfId="0" applyFont="1" applyFill="1" applyBorder="1" applyAlignment="1">
      <alignment horizontal="center" vertical="center" wrapText="1"/>
    </xf>
    <xf numFmtId="49" fontId="18" fillId="4" borderId="11" xfId="1" applyNumberFormat="1" applyFont="1" applyFill="1" applyBorder="1" applyAlignment="1">
      <alignment horizontal="center" vertical="center"/>
    </xf>
    <xf numFmtId="49" fontId="18" fillId="4" borderId="168" xfId="1" applyNumberFormat="1" applyFont="1" applyFill="1" applyBorder="1" applyAlignment="1">
      <alignment horizontal="center" vertical="center"/>
    </xf>
    <xf numFmtId="0" fontId="15" fillId="2" borderId="59" xfId="0" applyFont="1" applyFill="1" applyBorder="1" applyAlignment="1">
      <alignment horizontal="center" vertical="top" wrapText="1"/>
    </xf>
    <xf numFmtId="0" fontId="15" fillId="2" borderId="49" xfId="0" applyFont="1" applyFill="1" applyBorder="1" applyAlignment="1">
      <alignment horizontal="center" vertical="top" wrapText="1"/>
    </xf>
    <xf numFmtId="0" fontId="15" fillId="2" borderId="40" xfId="0" applyFont="1" applyFill="1" applyBorder="1" applyAlignment="1">
      <alignment horizontal="center" vertical="top" wrapText="1"/>
    </xf>
    <xf numFmtId="49" fontId="18" fillId="4" borderId="54" xfId="1" applyNumberFormat="1" applyFont="1" applyFill="1" applyBorder="1" applyAlignment="1">
      <alignment horizontal="center" vertical="center"/>
    </xf>
    <xf numFmtId="49" fontId="18" fillId="4" borderId="169" xfId="1" applyNumberFormat="1" applyFont="1" applyFill="1" applyBorder="1" applyAlignment="1">
      <alignment horizontal="center" vertical="center"/>
    </xf>
    <xf numFmtId="0" fontId="22" fillId="2" borderId="40" xfId="0" applyFont="1" applyFill="1" applyBorder="1" applyAlignment="1">
      <alignment horizontal="center" vertical="top" wrapText="1"/>
    </xf>
    <xf numFmtId="0" fontId="15" fillId="2" borderId="41" xfId="0" applyFont="1" applyFill="1" applyBorder="1" applyAlignment="1">
      <alignment horizontal="center" vertical="top" wrapText="1"/>
    </xf>
    <xf numFmtId="0" fontId="15" fillId="2" borderId="60" xfId="0" applyFont="1" applyFill="1" applyBorder="1" applyAlignment="1">
      <alignment horizontal="center" vertical="top" wrapText="1"/>
    </xf>
    <xf numFmtId="0" fontId="12" fillId="2" borderId="59" xfId="0" applyFont="1" applyFill="1" applyBorder="1" applyAlignment="1">
      <alignment horizontal="left" vertical="top" wrapText="1"/>
    </xf>
    <xf numFmtId="0" fontId="12" fillId="2" borderId="49" xfId="0" applyFont="1" applyFill="1" applyBorder="1" applyAlignment="1">
      <alignment horizontal="left" vertical="top" wrapText="1"/>
    </xf>
    <xf numFmtId="0" fontId="12" fillId="2" borderId="60" xfId="0" applyFont="1" applyFill="1" applyBorder="1" applyAlignment="1">
      <alignment horizontal="left" vertical="top" wrapText="1"/>
    </xf>
    <xf numFmtId="0" fontId="7" fillId="4" borderId="30"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8" fillId="7" borderId="11" xfId="0" applyFont="1" applyFill="1" applyBorder="1" applyAlignment="1">
      <alignment horizontal="center" vertical="center"/>
    </xf>
    <xf numFmtId="0" fontId="8" fillId="7" borderId="14" xfId="0" applyFont="1" applyFill="1" applyBorder="1" applyAlignment="1">
      <alignment horizontal="center" vertical="center"/>
    </xf>
    <xf numFmtId="0" fontId="7" fillId="0" borderId="59" xfId="0" applyFont="1" applyBorder="1" applyAlignment="1">
      <alignment horizontal="left" vertical="top" wrapText="1"/>
    </xf>
    <xf numFmtId="0" fontId="7" fillId="0" borderId="49" xfId="0" applyFont="1" applyBorder="1" applyAlignment="1">
      <alignment horizontal="left" vertical="top" wrapText="1"/>
    </xf>
    <xf numFmtId="0" fontId="7" fillId="0" borderId="60" xfId="0" applyFont="1" applyBorder="1" applyAlignment="1">
      <alignment horizontal="left" vertical="top" wrapText="1"/>
    </xf>
    <xf numFmtId="0" fontId="8" fillId="8" borderId="44" xfId="0" applyFont="1" applyFill="1" applyBorder="1" applyAlignment="1">
      <alignment horizontal="center" vertical="center" wrapText="1"/>
    </xf>
    <xf numFmtId="0" fontId="8" fillId="2" borderId="23" xfId="0" applyFont="1" applyFill="1" applyBorder="1" applyAlignment="1">
      <alignment horizontal="left" vertical="center" wrapText="1"/>
    </xf>
    <xf numFmtId="0" fontId="8" fillId="2" borderId="25" xfId="0" applyFont="1" applyFill="1" applyBorder="1" applyAlignment="1">
      <alignment horizontal="left" vertical="center" wrapText="1"/>
    </xf>
    <xf numFmtId="0" fontId="7" fillId="4" borderId="23" xfId="0" applyFont="1" applyFill="1" applyBorder="1" applyAlignment="1">
      <alignment vertical="center"/>
    </xf>
    <xf numFmtId="0" fontId="7" fillId="4" borderId="41" xfId="0" applyFont="1" applyFill="1" applyBorder="1" applyAlignment="1">
      <alignment vertical="center"/>
    </xf>
    <xf numFmtId="0" fontId="8" fillId="2" borderId="23" xfId="0" applyFont="1" applyFill="1" applyBorder="1" applyAlignment="1">
      <alignment horizontal="left" vertical="top" wrapText="1"/>
    </xf>
    <xf numFmtId="0" fontId="8" fillId="2" borderId="25" xfId="0" applyFont="1" applyFill="1" applyBorder="1" applyAlignment="1">
      <alignment horizontal="left" vertical="top" wrapText="1"/>
    </xf>
    <xf numFmtId="49" fontId="18" fillId="4" borderId="9" xfId="1" applyNumberFormat="1" applyFont="1" applyFill="1" applyBorder="1" applyAlignment="1">
      <alignment horizontal="center" vertical="center"/>
    </xf>
    <xf numFmtId="0" fontId="8" fillId="10" borderId="27" xfId="0" applyFont="1" applyFill="1" applyBorder="1" applyAlignment="1">
      <alignment horizontal="left" vertical="top" wrapText="1"/>
    </xf>
    <xf numFmtId="0" fontId="16" fillId="2" borderId="71" xfId="0" applyFont="1" applyFill="1" applyBorder="1" applyAlignment="1">
      <alignment horizontal="center" vertical="center" wrapText="1"/>
    </xf>
    <xf numFmtId="0" fontId="16" fillId="2" borderId="11" xfId="0" applyFont="1" applyFill="1" applyBorder="1" applyAlignment="1">
      <alignment horizontal="center" vertical="center" wrapText="1"/>
    </xf>
    <xf numFmtId="0" fontId="16" fillId="2" borderId="12" xfId="0" applyFont="1" applyFill="1" applyBorder="1" applyAlignment="1">
      <alignment horizontal="center" vertical="center" wrapText="1"/>
    </xf>
    <xf numFmtId="0" fontId="16" fillId="2" borderId="73" xfId="0" applyFont="1" applyFill="1" applyBorder="1" applyAlignment="1">
      <alignment horizontal="center" vertical="center" wrapText="1"/>
    </xf>
    <xf numFmtId="0" fontId="16" fillId="2" borderId="14" xfId="0" applyFont="1" applyFill="1" applyBorder="1" applyAlignment="1">
      <alignment horizontal="center" vertical="center" wrapText="1"/>
    </xf>
    <xf numFmtId="0" fontId="16" fillId="2" borderId="15" xfId="0" applyFont="1" applyFill="1" applyBorder="1" applyAlignment="1">
      <alignment horizontal="center" vertical="center" wrapText="1"/>
    </xf>
    <xf numFmtId="0" fontId="16" fillId="2" borderId="9" xfId="0" applyFont="1" applyFill="1" applyBorder="1" applyAlignment="1">
      <alignment horizontal="center" vertical="center" wrapText="1"/>
    </xf>
    <xf numFmtId="0" fontId="16" fillId="2" borderId="8" xfId="0" applyFont="1" applyFill="1" applyBorder="1" applyAlignment="1">
      <alignment horizontal="center" vertical="center" wrapText="1"/>
    </xf>
    <xf numFmtId="0" fontId="15" fillId="2" borderId="59" xfId="0" applyFont="1" applyFill="1" applyBorder="1" applyAlignment="1">
      <alignment horizontal="left" vertical="top" wrapText="1"/>
    </xf>
    <xf numFmtId="0" fontId="15" fillId="2" borderId="49" xfId="0" applyFont="1" applyFill="1" applyBorder="1" applyAlignment="1">
      <alignment horizontal="left" vertical="top" wrapText="1"/>
    </xf>
    <xf numFmtId="0" fontId="15" fillId="2" borderId="60" xfId="0" applyFont="1" applyFill="1" applyBorder="1" applyAlignment="1">
      <alignment horizontal="left" vertical="top" wrapText="1"/>
    </xf>
    <xf numFmtId="0" fontId="8" fillId="8" borderId="43" xfId="0" applyFont="1" applyFill="1" applyBorder="1" applyAlignment="1">
      <alignment horizontal="center" vertical="center"/>
    </xf>
    <xf numFmtId="0" fontId="12" fillId="7" borderId="41" xfId="0" applyFont="1" applyFill="1" applyBorder="1" applyAlignment="1">
      <alignment horizontal="center" vertical="center" wrapText="1"/>
    </xf>
    <xf numFmtId="0" fontId="26" fillId="2" borderId="41" xfId="0" applyFont="1" applyFill="1" applyBorder="1" applyAlignment="1">
      <alignment horizontal="center" vertical="top" wrapText="1"/>
    </xf>
    <xf numFmtId="0" fontId="26" fillId="2" borderId="49" xfId="0" applyFont="1" applyFill="1" applyBorder="1" applyAlignment="1">
      <alignment horizontal="center" vertical="top" wrapText="1"/>
    </xf>
    <xf numFmtId="0" fontId="26" fillId="2" borderId="60" xfId="0" applyFont="1" applyFill="1" applyBorder="1" applyAlignment="1">
      <alignment horizontal="center" vertical="top" wrapText="1"/>
    </xf>
    <xf numFmtId="49" fontId="18" fillId="4" borderId="30" xfId="1" applyNumberFormat="1" applyFont="1" applyFill="1" applyBorder="1" applyAlignment="1">
      <alignment horizontal="center" vertical="center"/>
    </xf>
    <xf numFmtId="0" fontId="8" fillId="7" borderId="173" xfId="0" applyFont="1" applyFill="1" applyBorder="1" applyAlignment="1">
      <alignment horizontal="center" vertical="center"/>
    </xf>
    <xf numFmtId="0" fontId="8" fillId="7" borderId="34" xfId="0" applyFont="1" applyFill="1" applyBorder="1" applyAlignment="1">
      <alignment horizontal="center" vertical="center"/>
    </xf>
    <xf numFmtId="0" fontId="12" fillId="7" borderId="40" xfId="0" applyFont="1" applyFill="1" applyBorder="1" applyAlignment="1">
      <alignment horizontal="center" vertical="center" wrapText="1"/>
    </xf>
    <xf numFmtId="0" fontId="7" fillId="2" borderId="22" xfId="0" applyFont="1" applyFill="1" applyBorder="1" applyAlignment="1">
      <alignment horizontal="left" vertical="top"/>
    </xf>
    <xf numFmtId="0" fontId="8" fillId="2" borderId="27" xfId="0" applyFont="1" applyFill="1" applyBorder="1" applyAlignment="1">
      <alignment horizontal="left" vertical="center" wrapText="1"/>
    </xf>
    <xf numFmtId="0" fontId="8" fillId="2" borderId="29" xfId="0" applyFont="1" applyFill="1" applyBorder="1" applyAlignment="1">
      <alignment horizontal="left" vertical="center" wrapText="1"/>
    </xf>
    <xf numFmtId="0" fontId="7" fillId="5" borderId="23" xfId="0" applyFont="1" applyFill="1" applyBorder="1" applyAlignment="1">
      <alignment horizontal="left" vertical="top" wrapText="1"/>
    </xf>
    <xf numFmtId="0" fontId="7" fillId="5" borderId="24" xfId="0" applyFont="1" applyFill="1" applyBorder="1" applyAlignment="1">
      <alignment horizontal="left" vertical="top" wrapText="1"/>
    </xf>
    <xf numFmtId="0" fontId="7" fillId="5" borderId="25" xfId="0" applyFont="1" applyFill="1" applyBorder="1" applyAlignment="1">
      <alignment horizontal="left" vertical="top" wrapText="1"/>
    </xf>
    <xf numFmtId="0" fontId="16" fillId="4" borderId="161" xfId="0" applyFont="1" applyFill="1" applyBorder="1" applyAlignment="1">
      <alignment horizontal="center" vertical="center" wrapText="1"/>
    </xf>
    <xf numFmtId="0" fontId="16" fillId="4" borderId="162" xfId="0" applyFont="1" applyFill="1" applyBorder="1" applyAlignment="1">
      <alignment horizontal="center" vertical="center" wrapText="1"/>
    </xf>
    <xf numFmtId="0" fontId="16" fillId="4" borderId="163" xfId="0" applyFont="1" applyFill="1" applyBorder="1" applyAlignment="1">
      <alignment horizontal="center" vertical="center" wrapText="1"/>
    </xf>
    <xf numFmtId="0" fontId="16" fillId="4" borderId="164" xfId="0" applyFont="1" applyFill="1" applyBorder="1" applyAlignment="1">
      <alignment horizontal="center" vertical="center" wrapText="1"/>
    </xf>
    <xf numFmtId="0" fontId="8" fillId="0" borderId="38" xfId="0" applyFont="1" applyBorder="1" applyAlignment="1">
      <alignment horizontal="center" vertical="center"/>
    </xf>
    <xf numFmtId="0" fontId="8" fillId="0" borderId="139" xfId="0" applyFont="1" applyBorder="1" applyAlignment="1">
      <alignment horizontal="center" vertical="center"/>
    </xf>
    <xf numFmtId="0" fontId="8" fillId="0" borderId="38" xfId="0" applyFont="1" applyBorder="1" applyAlignment="1">
      <alignment horizontal="center" vertical="center" wrapText="1"/>
    </xf>
    <xf numFmtId="0" fontId="8" fillId="0" borderId="139" xfId="0" applyFont="1" applyBorder="1" applyAlignment="1">
      <alignment horizontal="center" vertical="center" wrapText="1"/>
    </xf>
    <xf numFmtId="0" fontId="9" fillId="3" borderId="19" xfId="0" applyFont="1" applyFill="1" applyBorder="1" applyAlignment="1">
      <alignment horizontal="left" vertical="center"/>
    </xf>
    <xf numFmtId="0" fontId="8" fillId="0" borderId="38" xfId="0" applyFont="1" applyBorder="1" applyAlignment="1">
      <alignment horizontal="center" wrapText="1"/>
    </xf>
    <xf numFmtId="0" fontId="8" fillId="0" borderId="47" xfId="0" applyFont="1" applyBorder="1" applyAlignment="1">
      <alignment horizontal="center" wrapText="1"/>
    </xf>
    <xf numFmtId="0" fontId="8" fillId="0" borderId="139" xfId="0" applyFont="1" applyBorder="1" applyAlignment="1">
      <alignment horizontal="center" wrapText="1"/>
    </xf>
    <xf numFmtId="0" fontId="39" fillId="0" borderId="38" xfId="0" applyFont="1" applyBorder="1" applyAlignment="1">
      <alignment horizontal="left" vertical="center" wrapText="1"/>
    </xf>
    <xf numFmtId="0" fontId="39" fillId="0" borderId="47" xfId="0" applyFont="1" applyBorder="1" applyAlignment="1">
      <alignment horizontal="left" vertical="center" wrapText="1"/>
    </xf>
    <xf numFmtId="0" fontId="39" fillId="0" borderId="139" xfId="0" applyFont="1" applyBorder="1" applyAlignment="1">
      <alignment horizontal="left" vertical="center" wrapText="1"/>
    </xf>
    <xf numFmtId="0" fontId="8" fillId="8" borderId="54" xfId="0" applyFont="1" applyFill="1" applyBorder="1" applyAlignment="1">
      <alignment horizontal="center" vertical="center" wrapText="1"/>
    </xf>
    <xf numFmtId="0" fontId="8" fillId="8" borderId="48" xfId="0" applyFont="1" applyFill="1" applyBorder="1" applyAlignment="1">
      <alignment horizontal="center" vertical="center" wrapText="1"/>
    </xf>
    <xf numFmtId="0" fontId="8" fillId="7" borderId="20" xfId="0" applyFont="1" applyFill="1" applyBorder="1" applyAlignment="1">
      <alignment horizontal="center" vertical="center"/>
    </xf>
    <xf numFmtId="0" fontId="8" fillId="7" borderId="45" xfId="0" applyFont="1" applyFill="1" applyBorder="1" applyAlignment="1">
      <alignment horizontal="center" vertical="center"/>
    </xf>
    <xf numFmtId="0" fontId="8" fillId="5" borderId="38" xfId="0" applyFont="1" applyFill="1" applyBorder="1" applyAlignment="1">
      <alignment horizontal="center" vertical="center"/>
    </xf>
    <xf numFmtId="0" fontId="8" fillId="5" borderId="139" xfId="0" applyFont="1" applyFill="1" applyBorder="1" applyAlignment="1">
      <alignment horizontal="center" vertical="center"/>
    </xf>
    <xf numFmtId="0" fontId="19" fillId="0" borderId="0" xfId="0" applyFont="1" applyFill="1" applyBorder="1" applyAlignment="1">
      <alignment horizontal="center" vertical="center" textRotation="90"/>
    </xf>
    <xf numFmtId="0" fontId="8" fillId="2" borderId="22" xfId="0" applyFont="1" applyFill="1" applyBorder="1" applyAlignment="1">
      <alignment horizontal="left" vertical="top"/>
    </xf>
    <xf numFmtId="0" fontId="7" fillId="4" borderId="9" xfId="0" applyFont="1" applyFill="1" applyBorder="1" applyAlignment="1">
      <alignment horizontal="center" vertical="center" wrapText="1"/>
    </xf>
    <xf numFmtId="0" fontId="7" fillId="4" borderId="8" xfId="0" applyFont="1" applyFill="1" applyBorder="1" applyAlignment="1">
      <alignment horizontal="center" vertical="center" wrapText="1"/>
    </xf>
    <xf numFmtId="0" fontId="8" fillId="7" borderId="21" xfId="0" applyFont="1" applyFill="1" applyBorder="1" applyAlignment="1">
      <alignment horizontal="center" vertical="center"/>
    </xf>
    <xf numFmtId="0" fontId="9" fillId="9" borderId="38" xfId="0" applyFont="1" applyFill="1" applyBorder="1" applyAlignment="1">
      <alignment horizontal="center" vertical="center" wrapText="1"/>
    </xf>
    <xf numFmtId="0" fontId="9" fillId="9" borderId="47" xfId="0" applyFont="1" applyFill="1" applyBorder="1" applyAlignment="1">
      <alignment horizontal="center" vertical="center" wrapText="1"/>
    </xf>
    <xf numFmtId="0" fontId="15" fillId="2" borderId="59" xfId="0" applyFont="1" applyFill="1" applyBorder="1" applyAlignment="1">
      <alignment horizontal="center" vertical="center" wrapText="1"/>
    </xf>
    <xf numFmtId="0" fontId="15" fillId="2" borderId="49" xfId="0" applyFont="1" applyFill="1" applyBorder="1" applyAlignment="1">
      <alignment horizontal="center" vertical="center" wrapText="1"/>
    </xf>
    <xf numFmtId="0" fontId="7" fillId="0" borderId="24" xfId="0" applyFont="1" applyBorder="1" applyAlignment="1">
      <alignment horizontal="left" vertical="top" wrapText="1"/>
    </xf>
    <xf numFmtId="0" fontId="7" fillId="0" borderId="41" xfId="0" applyFont="1" applyBorder="1" applyAlignment="1">
      <alignment horizontal="left" vertical="top" wrapText="1"/>
    </xf>
    <xf numFmtId="0" fontId="49" fillId="5" borderId="59" xfId="0" applyFont="1" applyFill="1" applyBorder="1" applyAlignment="1">
      <alignment horizontal="left" vertical="top" wrapText="1"/>
    </xf>
    <xf numFmtId="0" fontId="49" fillId="5" borderId="60" xfId="0" applyFont="1" applyFill="1" applyBorder="1" applyAlignment="1">
      <alignment horizontal="left" vertical="top" wrapText="1"/>
    </xf>
    <xf numFmtId="0" fontId="49" fillId="5" borderId="59" xfId="0" applyFont="1" applyFill="1" applyBorder="1" applyAlignment="1">
      <alignment horizontal="left" vertical="center" wrapText="1"/>
    </xf>
    <xf numFmtId="0" fontId="49" fillId="5" borderId="60" xfId="0" applyFont="1" applyFill="1" applyBorder="1" applyAlignment="1">
      <alignment horizontal="left" vertical="center" wrapText="1"/>
    </xf>
    <xf numFmtId="0" fontId="49" fillId="5" borderId="49" xfId="0" applyFont="1" applyFill="1" applyBorder="1" applyAlignment="1">
      <alignment horizontal="left" vertical="center" wrapText="1"/>
    </xf>
    <xf numFmtId="0" fontId="7" fillId="4" borderId="25" xfId="0" applyFont="1" applyFill="1" applyBorder="1" applyAlignment="1">
      <alignment vertical="center"/>
    </xf>
    <xf numFmtId="0" fontId="7" fillId="0" borderId="54" xfId="0" applyFont="1" applyBorder="1" applyAlignment="1">
      <alignment horizontal="left" vertical="top" wrapText="1"/>
    </xf>
    <xf numFmtId="0" fontId="7" fillId="5" borderId="59" xfId="0" applyFont="1" applyFill="1" applyBorder="1" applyAlignment="1">
      <alignment horizontal="left" vertical="top" wrapText="1"/>
    </xf>
    <xf numFmtId="0" fontId="7" fillId="5" borderId="49" xfId="0" applyFont="1" applyFill="1" applyBorder="1" applyAlignment="1">
      <alignment horizontal="left" vertical="top" wrapText="1"/>
    </xf>
    <xf numFmtId="0" fontId="7" fillId="5" borderId="60" xfId="0" applyFont="1" applyFill="1" applyBorder="1" applyAlignment="1">
      <alignment horizontal="left" vertical="top" wrapText="1"/>
    </xf>
    <xf numFmtId="0" fontId="8" fillId="6" borderId="232" xfId="0" applyFont="1" applyFill="1" applyBorder="1" applyAlignment="1">
      <alignment horizontal="left" vertical="top" wrapText="1"/>
    </xf>
    <xf numFmtId="0" fontId="8" fillId="6" borderId="235" xfId="0" applyFont="1" applyFill="1" applyBorder="1" applyAlignment="1">
      <alignment horizontal="left" vertical="top" wrapText="1"/>
    </xf>
    <xf numFmtId="0" fontId="8" fillId="2" borderId="271" xfId="0" applyFont="1" applyFill="1" applyBorder="1" applyAlignment="1">
      <alignment horizontal="left" vertical="top"/>
    </xf>
    <xf numFmtId="0" fontId="9" fillId="3" borderId="199" xfId="0" applyFont="1" applyFill="1" applyBorder="1" applyAlignment="1">
      <alignment horizontal="left" vertical="center"/>
    </xf>
    <xf numFmtId="0" fontId="12" fillId="10" borderId="44" xfId="0" applyFont="1" applyFill="1" applyBorder="1" applyAlignment="1">
      <alignment horizontal="left" vertical="top" wrapText="1"/>
    </xf>
    <xf numFmtId="0" fontId="12" fillId="10" borderId="28" xfId="0" applyFont="1" applyFill="1" applyBorder="1" applyAlignment="1">
      <alignment horizontal="left" vertical="top" wrapText="1"/>
    </xf>
    <xf numFmtId="0" fontId="12" fillId="10" borderId="50" xfId="0" applyFont="1" applyFill="1" applyBorder="1" applyAlignment="1">
      <alignment horizontal="left" vertical="top" wrapText="1"/>
    </xf>
    <xf numFmtId="0" fontId="8" fillId="8" borderId="23" xfId="0" applyFont="1" applyFill="1" applyBorder="1" applyAlignment="1">
      <alignment horizontal="center" vertical="center" wrapText="1"/>
    </xf>
    <xf numFmtId="0" fontId="8" fillId="8" borderId="25" xfId="0" applyFont="1" applyFill="1" applyBorder="1" applyAlignment="1">
      <alignment horizontal="center" vertical="center" wrapText="1"/>
    </xf>
    <xf numFmtId="0" fontId="7" fillId="5" borderId="40" xfId="0" applyFont="1" applyFill="1" applyBorder="1" applyAlignment="1">
      <alignment horizontal="left" vertical="top" wrapText="1"/>
    </xf>
    <xf numFmtId="0" fontId="8" fillId="8" borderId="37" xfId="0" applyFont="1" applyFill="1" applyBorder="1" applyAlignment="1">
      <alignment horizontal="center" vertical="center"/>
    </xf>
    <xf numFmtId="0" fontId="8" fillId="8" borderId="31" xfId="0" applyFont="1" applyFill="1" applyBorder="1" applyAlignment="1">
      <alignment horizontal="center" vertical="center"/>
    </xf>
    <xf numFmtId="0" fontId="7" fillId="12" borderId="56" xfId="0" applyFont="1" applyFill="1" applyBorder="1" applyAlignment="1">
      <alignment horizontal="left" vertical="top" wrapText="1"/>
    </xf>
    <xf numFmtId="0" fontId="7" fillId="12" borderId="57" xfId="0" applyFont="1" applyFill="1" applyBorder="1" applyAlignment="1">
      <alignment horizontal="left" vertical="top" wrapText="1"/>
    </xf>
    <xf numFmtId="0" fontId="7" fillId="12" borderId="58" xfId="0" applyFont="1" applyFill="1" applyBorder="1" applyAlignment="1">
      <alignment horizontal="left" vertical="top" wrapText="1"/>
    </xf>
    <xf numFmtId="49" fontId="14" fillId="4" borderId="9" xfId="1" applyNumberFormat="1" applyFont="1" applyFill="1" applyBorder="1" applyAlignment="1">
      <alignment horizontal="center" vertical="center"/>
    </xf>
    <xf numFmtId="0" fontId="8" fillId="8" borderId="52" xfId="0" applyFont="1" applyFill="1" applyBorder="1" applyAlignment="1">
      <alignment horizontal="center" vertical="center"/>
    </xf>
    <xf numFmtId="0" fontId="8" fillId="2" borderId="43" xfId="0" applyFont="1" applyFill="1" applyBorder="1" applyAlignment="1">
      <alignment horizontal="left" vertical="top"/>
    </xf>
    <xf numFmtId="0" fontId="7" fillId="4" borderId="9" xfId="0" applyFont="1" applyFill="1" applyBorder="1" applyAlignment="1">
      <alignment horizontal="center" wrapText="1"/>
    </xf>
    <xf numFmtId="0" fontId="7" fillId="4" borderId="14" xfId="0" applyFont="1" applyFill="1" applyBorder="1" applyAlignment="1">
      <alignment horizontal="center" wrapText="1"/>
    </xf>
    <xf numFmtId="49" fontId="18" fillId="4" borderId="71" xfId="1" applyNumberFormat="1" applyFont="1" applyFill="1" applyBorder="1" applyAlignment="1">
      <alignment horizontal="center" vertical="center"/>
    </xf>
    <xf numFmtId="0" fontId="15" fillId="2" borderId="40" xfId="0" applyFont="1" applyFill="1" applyBorder="1" applyAlignment="1">
      <alignment horizontal="left" vertical="top" wrapText="1"/>
    </xf>
    <xf numFmtId="0" fontId="15" fillId="2" borderId="24" xfId="0" applyFont="1" applyFill="1" applyBorder="1" applyAlignment="1">
      <alignment horizontal="left" vertical="top" wrapText="1"/>
    </xf>
    <xf numFmtId="0" fontId="15" fillId="2" borderId="41" xfId="0" applyFont="1" applyFill="1" applyBorder="1" applyAlignment="1">
      <alignment horizontal="left" vertical="top" wrapText="1"/>
    </xf>
    <xf numFmtId="0" fontId="7" fillId="4" borderId="35" xfId="0" applyFont="1" applyFill="1" applyBorder="1" applyAlignment="1">
      <alignment horizontal="center" vertical="center" wrapText="1"/>
    </xf>
    <xf numFmtId="0" fontId="9" fillId="0" borderId="38" xfId="0" applyFont="1" applyBorder="1" applyAlignment="1">
      <alignment horizontal="left" vertical="center" wrapText="1"/>
    </xf>
    <xf numFmtId="0" fontId="9" fillId="0" borderId="47" xfId="0" applyFont="1" applyBorder="1" applyAlignment="1">
      <alignment horizontal="left" vertical="center" wrapText="1"/>
    </xf>
    <xf numFmtId="0" fontId="9" fillId="0" borderId="139" xfId="0" applyFont="1" applyBorder="1" applyAlignment="1">
      <alignment horizontal="left" vertical="center" wrapText="1"/>
    </xf>
    <xf numFmtId="0" fontId="7" fillId="0" borderId="59" xfId="0" applyFont="1" applyBorder="1" applyAlignment="1">
      <alignment horizontal="left" vertical="center" wrapText="1"/>
    </xf>
    <xf numFmtId="0" fontId="7" fillId="0" borderId="49" xfId="0" applyFont="1" applyBorder="1" applyAlignment="1">
      <alignment horizontal="left" vertical="center" wrapText="1"/>
    </xf>
    <xf numFmtId="0" fontId="7" fillId="0" borderId="60" xfId="0" applyFont="1" applyBorder="1" applyAlignment="1">
      <alignment horizontal="left" vertical="center" wrapText="1"/>
    </xf>
    <xf numFmtId="0" fontId="7" fillId="12" borderId="62" xfId="0" applyFont="1" applyFill="1" applyBorder="1" applyAlignment="1">
      <alignment horizontal="left" vertical="top" wrapText="1"/>
    </xf>
    <xf numFmtId="0" fontId="7" fillId="0" borderId="48" xfId="0" applyFont="1" applyBorder="1" applyAlignment="1">
      <alignment horizontal="left" vertical="top" wrapText="1"/>
    </xf>
    <xf numFmtId="0" fontId="7" fillId="4" borderId="27" xfId="0" applyFont="1" applyFill="1" applyBorder="1" applyAlignment="1">
      <alignment vertical="center"/>
    </xf>
    <xf numFmtId="0" fontId="7" fillId="4" borderId="29" xfId="0" applyFont="1" applyFill="1" applyBorder="1" applyAlignment="1">
      <alignment vertical="center"/>
    </xf>
    <xf numFmtId="0" fontId="8" fillId="5" borderId="23" xfId="0" applyFont="1" applyFill="1" applyBorder="1" applyAlignment="1">
      <alignment horizontal="left" vertical="top" wrapText="1"/>
    </xf>
    <xf numFmtId="0" fontId="8" fillId="5" borderId="24" xfId="0" applyFont="1" applyFill="1" applyBorder="1" applyAlignment="1">
      <alignment horizontal="left" vertical="top" wrapText="1"/>
    </xf>
    <xf numFmtId="0" fontId="8" fillId="5" borderId="25" xfId="0" applyFont="1" applyFill="1" applyBorder="1" applyAlignment="1">
      <alignment horizontal="left" vertical="top" wrapText="1"/>
    </xf>
    <xf numFmtId="0" fontId="8" fillId="5" borderId="41" xfId="0" applyFont="1" applyFill="1" applyBorder="1" applyAlignment="1">
      <alignment horizontal="left" vertical="top" wrapText="1"/>
    </xf>
    <xf numFmtId="0" fontId="8" fillId="2" borderId="41" xfId="0" applyFont="1" applyFill="1" applyBorder="1" applyAlignment="1">
      <alignment horizontal="left" vertical="center" wrapText="1"/>
    </xf>
    <xf numFmtId="0" fontId="8" fillId="6" borderId="38" xfId="0" applyFont="1" applyFill="1" applyBorder="1" applyAlignment="1">
      <alignment horizontal="center" vertical="center"/>
    </xf>
    <xf numFmtId="0" fontId="8" fillId="6" borderId="47" xfId="0" applyFont="1" applyFill="1" applyBorder="1" applyAlignment="1">
      <alignment horizontal="center" vertical="center"/>
    </xf>
    <xf numFmtId="0" fontId="8" fillId="6" borderId="139" xfId="0" applyFont="1" applyFill="1" applyBorder="1" applyAlignment="1">
      <alignment horizontal="center" vertical="center"/>
    </xf>
    <xf numFmtId="0" fontId="8" fillId="2" borderId="40" xfId="0" applyFont="1" applyFill="1" applyBorder="1" applyAlignment="1">
      <alignment horizontal="left" vertical="top" wrapText="1"/>
    </xf>
    <xf numFmtId="0" fontId="8" fillId="2" borderId="40" xfId="0" applyFont="1" applyFill="1" applyBorder="1" applyAlignment="1">
      <alignment horizontal="left" vertical="center" wrapText="1"/>
    </xf>
    <xf numFmtId="0" fontId="7" fillId="4" borderId="40" xfId="0" applyFont="1" applyFill="1" applyBorder="1" applyAlignment="1">
      <alignment vertical="center"/>
    </xf>
    <xf numFmtId="0" fontId="9" fillId="0" borderId="47" xfId="0" applyFont="1" applyBorder="1" applyAlignment="1">
      <alignment horizontal="center" vertical="center" wrapText="1"/>
    </xf>
    <xf numFmtId="0" fontId="8" fillId="0" borderId="47" xfId="0" applyFont="1" applyBorder="1" applyAlignment="1">
      <alignment horizontal="center" vertical="center"/>
    </xf>
    <xf numFmtId="0" fontId="8" fillId="4" borderId="9" xfId="0" applyFont="1" applyFill="1" applyBorder="1" applyAlignment="1">
      <alignment horizontal="center" wrapText="1"/>
    </xf>
    <xf numFmtId="0" fontId="8" fillId="4" borderId="14" xfId="0" applyFont="1" applyFill="1" applyBorder="1" applyAlignment="1">
      <alignment horizontal="center" wrapText="1"/>
    </xf>
    <xf numFmtId="0" fontId="40" fillId="0" borderId="38" xfId="0" applyFont="1" applyBorder="1" applyAlignment="1">
      <alignment horizontal="center" vertical="center" wrapText="1"/>
    </xf>
    <xf numFmtId="0" fontId="40" fillId="0" borderId="47" xfId="0" applyFont="1" applyBorder="1" applyAlignment="1">
      <alignment horizontal="center" vertical="center" wrapText="1"/>
    </xf>
    <xf numFmtId="0" fontId="4" fillId="0" borderId="103" xfId="0" applyFont="1" applyBorder="1" applyAlignment="1">
      <alignment horizontal="left" vertical="top" wrapText="1"/>
    </xf>
    <xf numFmtId="0" fontId="4" fillId="0" borderId="104" xfId="0" applyFont="1" applyBorder="1" applyAlignment="1">
      <alignment horizontal="left" vertical="top" wrapText="1"/>
    </xf>
    <xf numFmtId="0" fontId="4" fillId="0" borderId="105" xfId="0" applyFont="1" applyBorder="1" applyAlignment="1">
      <alignment horizontal="left" vertical="top" wrapText="1"/>
    </xf>
    <xf numFmtId="0" fontId="4" fillId="0" borderId="106" xfId="0" applyFont="1" applyBorder="1" applyAlignment="1">
      <alignment horizontal="left" vertical="top" wrapText="1"/>
    </xf>
    <xf numFmtId="0" fontId="4" fillId="0" borderId="0" xfId="0" applyFont="1" applyBorder="1" applyAlignment="1">
      <alignment horizontal="left" vertical="top" wrapText="1"/>
    </xf>
    <xf numFmtId="0" fontId="4" fillId="0" borderId="107" xfId="0" applyFont="1" applyBorder="1" applyAlignment="1">
      <alignment horizontal="left" vertical="top" wrapText="1"/>
    </xf>
    <xf numFmtId="0" fontId="4" fillId="0" borderId="108" xfId="0" applyFont="1" applyBorder="1" applyAlignment="1">
      <alignment horizontal="left" vertical="top" wrapText="1"/>
    </xf>
    <xf numFmtId="0" fontId="4" fillId="0" borderId="109" xfId="0" applyFont="1" applyBorder="1" applyAlignment="1">
      <alignment horizontal="left" vertical="top" wrapText="1"/>
    </xf>
    <xf numFmtId="0" fontId="4" fillId="0" borderId="110" xfId="0" applyFont="1" applyBorder="1" applyAlignment="1">
      <alignment horizontal="left" vertical="top" wrapText="1"/>
    </xf>
    <xf numFmtId="0" fontId="37" fillId="0" borderId="103" xfId="0" applyFont="1" applyBorder="1" applyAlignment="1" applyProtection="1">
      <alignment horizontal="left" vertical="top"/>
      <protection locked="0"/>
    </xf>
    <xf numFmtId="0" fontId="37" fillId="0" borderId="104" xfId="0" applyFont="1" applyBorder="1" applyAlignment="1" applyProtection="1">
      <alignment horizontal="left" vertical="top"/>
      <protection locked="0"/>
    </xf>
    <xf numFmtId="0" fontId="37" fillId="0" borderId="105" xfId="0" applyFont="1" applyBorder="1" applyAlignment="1" applyProtection="1">
      <alignment horizontal="left" vertical="top"/>
      <protection locked="0"/>
    </xf>
    <xf numFmtId="0" fontId="37" fillId="0" borderId="106" xfId="0" applyFont="1" applyBorder="1" applyAlignment="1" applyProtection="1">
      <alignment horizontal="left" vertical="top"/>
      <protection locked="0"/>
    </xf>
    <xf numFmtId="0" fontId="37" fillId="0" borderId="0" xfId="0" applyFont="1" applyBorder="1" applyAlignment="1" applyProtection="1">
      <alignment horizontal="left" vertical="top"/>
      <protection locked="0"/>
    </xf>
    <xf numFmtId="0" fontId="37" fillId="0" borderId="107" xfId="0" applyFont="1" applyBorder="1" applyAlignment="1" applyProtection="1">
      <alignment horizontal="left" vertical="top"/>
      <protection locked="0"/>
    </xf>
    <xf numFmtId="0" fontId="37" fillId="0" borderId="108" xfId="0" applyFont="1" applyBorder="1" applyAlignment="1" applyProtection="1">
      <alignment horizontal="left" vertical="top"/>
      <protection locked="0"/>
    </xf>
    <xf numFmtId="0" fontId="37" fillId="0" borderId="109" xfId="0" applyFont="1" applyBorder="1" applyAlignment="1" applyProtection="1">
      <alignment horizontal="left" vertical="top"/>
      <protection locked="0"/>
    </xf>
    <xf numFmtId="0" fontId="37" fillId="0" borderId="110" xfId="0" applyFont="1" applyBorder="1" applyAlignment="1" applyProtection="1">
      <alignment horizontal="left" vertical="top"/>
      <protection locked="0"/>
    </xf>
    <xf numFmtId="0" fontId="34" fillId="13" borderId="101" xfId="0" applyFont="1" applyFill="1" applyBorder="1" applyAlignment="1">
      <alignment horizontal="center" vertical="top" wrapText="1"/>
    </xf>
    <xf numFmtId="0" fontId="34" fillId="13" borderId="0" xfId="0" applyFont="1" applyFill="1" applyBorder="1" applyAlignment="1">
      <alignment horizontal="center" vertical="top" wrapText="1"/>
    </xf>
    <xf numFmtId="0" fontId="34" fillId="13" borderId="102" xfId="0" applyFont="1" applyFill="1" applyBorder="1" applyAlignment="1">
      <alignment horizontal="center" vertical="top" wrapText="1"/>
    </xf>
    <xf numFmtId="0" fontId="34" fillId="13" borderId="0" xfId="0" applyFont="1" applyFill="1" applyBorder="1" applyAlignment="1">
      <alignment horizontal="left" vertical="top" wrapText="1"/>
    </xf>
    <xf numFmtId="0" fontId="34" fillId="13" borderId="66" xfId="0" applyFont="1" applyFill="1" applyBorder="1" applyAlignment="1">
      <alignment horizontal="left" vertical="top" wrapText="1"/>
    </xf>
    <xf numFmtId="0" fontId="12" fillId="0" borderId="111" xfId="0" applyFont="1" applyBorder="1" applyAlignment="1">
      <alignment horizontal="left" vertical="top" wrapText="1"/>
    </xf>
    <xf numFmtId="0" fontId="12" fillId="0" borderId="112" xfId="0" applyFont="1" applyBorder="1" applyAlignment="1">
      <alignment horizontal="left" vertical="top" wrapText="1"/>
    </xf>
    <xf numFmtId="0" fontId="12" fillId="0" borderId="113" xfId="0" applyFont="1" applyBorder="1" applyAlignment="1">
      <alignment horizontal="left" vertical="top" wrapText="1"/>
    </xf>
    <xf numFmtId="0" fontId="12" fillId="0" borderId="114" xfId="0" applyFont="1" applyBorder="1" applyAlignment="1">
      <alignment horizontal="left" vertical="top" wrapText="1"/>
    </xf>
    <xf numFmtId="0" fontId="12" fillId="0" borderId="0" xfId="0" applyFont="1" applyBorder="1" applyAlignment="1">
      <alignment horizontal="left" vertical="top" wrapText="1"/>
    </xf>
    <xf numFmtId="0" fontId="12" fillId="0" borderId="115" xfId="0" applyFont="1" applyBorder="1" applyAlignment="1">
      <alignment horizontal="left" vertical="top" wrapText="1"/>
    </xf>
    <xf numFmtId="0" fontId="12" fillId="0" borderId="116" xfId="0" applyFont="1" applyBorder="1" applyAlignment="1">
      <alignment horizontal="left" vertical="top" wrapText="1"/>
    </xf>
    <xf numFmtId="0" fontId="12" fillId="0" borderId="117" xfId="0" applyFont="1" applyBorder="1" applyAlignment="1">
      <alignment horizontal="left" vertical="top" wrapText="1"/>
    </xf>
    <xf numFmtId="0" fontId="12" fillId="0" borderId="118" xfId="0" applyFont="1" applyBorder="1" applyAlignment="1">
      <alignment horizontal="left" vertical="top" wrapText="1"/>
    </xf>
    <xf numFmtId="0" fontId="30" fillId="14" borderId="119" xfId="0" applyFont="1" applyFill="1" applyBorder="1" applyAlignment="1">
      <alignment horizontal="center" vertical="center" wrapText="1"/>
    </xf>
    <xf numFmtId="0" fontId="30" fillId="14" borderId="120" xfId="0" applyFont="1" applyFill="1" applyBorder="1" applyAlignment="1">
      <alignment horizontal="center" vertical="center" wrapText="1"/>
    </xf>
    <xf numFmtId="0" fontId="30" fillId="14" borderId="122" xfId="0" applyFont="1" applyFill="1" applyBorder="1" applyAlignment="1">
      <alignment horizontal="center" vertical="center" wrapText="1"/>
    </xf>
    <xf numFmtId="0" fontId="30" fillId="14" borderId="121" xfId="0" applyFont="1" applyFill="1" applyBorder="1" applyAlignment="1">
      <alignment horizontal="center" vertical="center" wrapText="1"/>
    </xf>
    <xf numFmtId="0" fontId="33" fillId="0" borderId="111" xfId="0" applyFont="1" applyBorder="1" applyAlignment="1" applyProtection="1">
      <alignment horizontal="left" vertical="top" wrapText="1"/>
      <protection locked="0"/>
    </xf>
    <xf numFmtId="0" fontId="33" fillId="0" borderId="112" xfId="0" applyFont="1" applyBorder="1" applyAlignment="1" applyProtection="1">
      <alignment horizontal="left" vertical="top" wrapText="1"/>
      <protection locked="0"/>
    </xf>
    <xf numFmtId="0" fontId="33" fillId="0" borderId="113" xfId="0" applyFont="1" applyBorder="1" applyAlignment="1" applyProtection="1">
      <alignment horizontal="left" vertical="top" wrapText="1"/>
      <protection locked="0"/>
    </xf>
    <xf numFmtId="0" fontId="33" fillId="0" borderId="114" xfId="0" applyFont="1" applyBorder="1" applyAlignment="1" applyProtection="1">
      <alignment horizontal="left" vertical="top" wrapText="1"/>
      <protection locked="0"/>
    </xf>
    <xf numFmtId="0" fontId="33" fillId="0" borderId="0" xfId="0" applyFont="1" applyBorder="1" applyAlignment="1" applyProtection="1">
      <alignment horizontal="left" vertical="top" wrapText="1"/>
      <protection locked="0"/>
    </xf>
    <xf numFmtId="0" fontId="33" fillId="0" borderId="115" xfId="0" applyFont="1" applyBorder="1" applyAlignment="1" applyProtection="1">
      <alignment horizontal="left" vertical="top" wrapText="1"/>
      <protection locked="0"/>
    </xf>
    <xf numFmtId="0" fontId="33" fillId="0" borderId="116" xfId="0" applyFont="1" applyBorder="1" applyAlignment="1" applyProtection="1">
      <alignment horizontal="left" vertical="top" wrapText="1"/>
      <protection locked="0"/>
    </xf>
    <xf numFmtId="0" fontId="33" fillId="0" borderId="117" xfId="0" applyFont="1" applyBorder="1" applyAlignment="1" applyProtection="1">
      <alignment horizontal="left" vertical="top" wrapText="1"/>
      <protection locked="0"/>
    </xf>
    <xf numFmtId="0" fontId="33" fillId="0" borderId="118" xfId="0" applyFont="1" applyBorder="1" applyAlignment="1" applyProtection="1">
      <alignment horizontal="left" vertical="top" wrapText="1"/>
      <protection locked="0"/>
    </xf>
    <xf numFmtId="0" fontId="8" fillId="2" borderId="41" xfId="0" applyFont="1" applyFill="1" applyBorder="1" applyAlignment="1">
      <alignment horizontal="left" vertical="top" wrapText="1"/>
    </xf>
    <xf numFmtId="0" fontId="8" fillId="5" borderId="40" xfId="0" applyFont="1" applyFill="1" applyBorder="1" applyAlignment="1">
      <alignment horizontal="left" vertical="top" wrapText="1"/>
    </xf>
    <xf numFmtId="0" fontId="8" fillId="0" borderId="44" xfId="0" applyFont="1" applyBorder="1" applyAlignment="1">
      <alignment horizontal="left" vertical="top" wrapText="1"/>
    </xf>
    <xf numFmtId="0" fontId="8" fillId="0" borderId="28" xfId="0" applyFont="1" applyBorder="1" applyAlignment="1">
      <alignment horizontal="left" vertical="top" wrapText="1"/>
    </xf>
    <xf numFmtId="0" fontId="8" fillId="0" borderId="29" xfId="0" applyFont="1" applyBorder="1" applyAlignment="1">
      <alignment horizontal="left" vertical="top" wrapText="1"/>
    </xf>
    <xf numFmtId="0" fontId="8" fillId="2" borderId="64" xfId="0" applyFont="1" applyFill="1" applyBorder="1" applyAlignment="1">
      <alignment horizontal="left" vertical="center" wrapText="1"/>
    </xf>
    <xf numFmtId="0" fontId="8" fillId="2" borderId="174" xfId="0" applyFont="1" applyFill="1" applyBorder="1" applyAlignment="1">
      <alignment horizontal="left" vertical="center" wrapText="1"/>
    </xf>
    <xf numFmtId="0" fontId="7" fillId="0" borderId="44" xfId="0" applyFont="1" applyBorder="1" applyAlignment="1">
      <alignment horizontal="left" vertical="top" wrapText="1"/>
    </xf>
    <xf numFmtId="0" fontId="7" fillId="0" borderId="29" xfId="0" applyFont="1" applyBorder="1" applyAlignment="1">
      <alignment horizontal="left" vertical="top" wrapText="1"/>
    </xf>
    <xf numFmtId="0" fontId="22" fillId="2" borderId="41" xfId="0" applyFont="1" applyFill="1" applyBorder="1" applyAlignment="1">
      <alignment horizontal="center" vertical="top" wrapText="1"/>
    </xf>
    <xf numFmtId="0" fontId="7" fillId="10" borderId="54" xfId="0" applyFont="1" applyFill="1" applyBorder="1" applyAlignment="1">
      <alignment horizontal="center" vertical="top" wrapText="1"/>
    </xf>
    <xf numFmtId="0" fontId="7" fillId="10" borderId="48" xfId="0" applyFont="1" applyFill="1" applyBorder="1" applyAlignment="1">
      <alignment horizontal="center" vertical="top" wrapText="1"/>
    </xf>
    <xf numFmtId="0" fontId="7" fillId="10" borderId="44" xfId="0" applyFont="1" applyFill="1" applyBorder="1" applyAlignment="1">
      <alignment horizontal="center" vertical="top" wrapText="1"/>
    </xf>
    <xf numFmtId="0" fontId="7" fillId="10" borderId="50" xfId="0" applyFont="1" applyFill="1" applyBorder="1" applyAlignment="1">
      <alignment horizontal="center" vertical="top" wrapText="1"/>
    </xf>
    <xf numFmtId="0" fontId="7" fillId="10" borderId="79" xfId="0" applyFont="1" applyFill="1" applyBorder="1" applyAlignment="1">
      <alignment horizontal="center" vertical="top" wrapText="1"/>
    </xf>
    <xf numFmtId="0" fontId="7" fillId="5" borderId="41" xfId="0" applyFont="1" applyFill="1" applyBorder="1" applyAlignment="1">
      <alignment horizontal="left" vertical="top" wrapText="1"/>
    </xf>
    <xf numFmtId="0" fontId="9" fillId="3" borderId="6" xfId="0" applyFont="1" applyFill="1" applyBorder="1" applyAlignment="1">
      <alignment horizontal="left" vertical="center"/>
    </xf>
    <xf numFmtId="0" fontId="9" fillId="3" borderId="8" xfId="0" applyFont="1" applyFill="1" applyBorder="1" applyAlignment="1">
      <alignment horizontal="left" vertical="center"/>
    </xf>
    <xf numFmtId="0" fontId="9" fillId="3" borderId="32" xfId="0" applyFont="1" applyFill="1" applyBorder="1" applyAlignment="1">
      <alignment horizontal="left" vertical="center"/>
    </xf>
    <xf numFmtId="0" fontId="26" fillId="2" borderId="59" xfId="0" applyFont="1" applyFill="1" applyBorder="1" applyAlignment="1">
      <alignment horizontal="center" vertical="top" wrapText="1"/>
    </xf>
    <xf numFmtId="0" fontId="26" fillId="2" borderId="40" xfId="0" applyFont="1" applyFill="1" applyBorder="1" applyAlignment="1">
      <alignment horizontal="center" vertical="top" wrapText="1"/>
    </xf>
    <xf numFmtId="0" fontId="22" fillId="2" borderId="49" xfId="0" applyFont="1" applyFill="1" applyBorder="1" applyAlignment="1">
      <alignment horizontal="center" wrapText="1"/>
    </xf>
    <xf numFmtId="0" fontId="22" fillId="2" borderId="60" xfId="0" applyFont="1" applyFill="1" applyBorder="1" applyAlignment="1">
      <alignment horizontal="center" wrapText="1"/>
    </xf>
    <xf numFmtId="0" fontId="7" fillId="10" borderId="49" xfId="0" applyFont="1" applyFill="1" applyBorder="1" applyAlignment="1">
      <alignment horizontal="center" wrapText="1"/>
    </xf>
    <xf numFmtId="0" fontId="7" fillId="10" borderId="60" xfId="0" applyFont="1" applyFill="1" applyBorder="1" applyAlignment="1">
      <alignment horizontal="center" wrapText="1"/>
    </xf>
    <xf numFmtId="0" fontId="8" fillId="0" borderId="48" xfId="0" applyFont="1" applyBorder="1" applyAlignment="1">
      <alignment horizontal="left" vertical="center" wrapText="1"/>
    </xf>
    <xf numFmtId="0" fontId="8" fillId="0" borderId="79" xfId="0" applyFont="1" applyBorder="1" applyAlignment="1">
      <alignment horizontal="left" vertical="center" wrapText="1"/>
    </xf>
    <xf numFmtId="0" fontId="8" fillId="0" borderId="23" xfId="0" applyFont="1" applyBorder="1" applyAlignment="1">
      <alignment horizontal="left" vertical="top" wrapText="1"/>
    </xf>
    <xf numFmtId="0" fontId="8" fillId="0" borderId="24" xfId="0" applyFont="1" applyBorder="1" applyAlignment="1">
      <alignment horizontal="left" vertical="top" wrapText="1"/>
    </xf>
    <xf numFmtId="0" fontId="8" fillId="0" borderId="25" xfId="0" applyFont="1" applyBorder="1" applyAlignment="1">
      <alignment horizontal="left" vertical="top" wrapText="1"/>
    </xf>
    <xf numFmtId="0" fontId="8" fillId="5" borderId="27" xfId="0" applyFont="1" applyFill="1" applyBorder="1" applyAlignment="1">
      <alignment horizontal="left" vertical="top" wrapText="1"/>
    </xf>
    <xf numFmtId="0" fontId="8" fillId="5" borderId="29" xfId="0" applyFont="1" applyFill="1" applyBorder="1" applyAlignment="1">
      <alignment horizontal="left" vertical="top" wrapText="1"/>
    </xf>
    <xf numFmtId="0" fontId="9" fillId="3" borderId="38" xfId="0" applyFont="1" applyFill="1" applyBorder="1" applyAlignment="1">
      <alignment horizontal="left" vertical="center"/>
    </xf>
    <xf numFmtId="0" fontId="9" fillId="3" borderId="47" xfId="0" applyFont="1" applyFill="1" applyBorder="1" applyAlignment="1">
      <alignment horizontal="left" vertical="center"/>
    </xf>
    <xf numFmtId="0" fontId="9" fillId="3" borderId="139" xfId="0" applyFont="1" applyFill="1" applyBorder="1" applyAlignment="1">
      <alignment horizontal="left" vertical="center"/>
    </xf>
    <xf numFmtId="0" fontId="9" fillId="5" borderId="49" xfId="0" applyFont="1" applyFill="1" applyBorder="1" applyAlignment="1">
      <alignment horizontal="left" wrapText="1"/>
    </xf>
    <xf numFmtId="0" fontId="9" fillId="5" borderId="60" xfId="0" applyFont="1" applyFill="1" applyBorder="1" applyAlignment="1">
      <alignment horizontal="left" wrapText="1"/>
    </xf>
    <xf numFmtId="0" fontId="7" fillId="4" borderId="8" xfId="0" applyFont="1" applyFill="1" applyBorder="1" applyAlignment="1">
      <alignment horizontal="center" wrapText="1"/>
    </xf>
    <xf numFmtId="0" fontId="7" fillId="10" borderId="27" xfId="0" applyFont="1" applyFill="1" applyBorder="1" applyAlignment="1">
      <alignment horizontal="center" vertical="top" wrapText="1"/>
    </xf>
    <xf numFmtId="0" fontId="7" fillId="10" borderId="28" xfId="0" applyFont="1" applyFill="1" applyBorder="1" applyAlignment="1">
      <alignment horizontal="center" vertical="top" wrapText="1"/>
    </xf>
    <xf numFmtId="0" fontId="22" fillId="2" borderId="23" xfId="0" applyFont="1" applyFill="1" applyBorder="1" applyAlignment="1">
      <alignment horizontal="center" vertical="top" wrapText="1"/>
    </xf>
    <xf numFmtId="0" fontId="22" fillId="2" borderId="24" xfId="0" applyFont="1" applyFill="1" applyBorder="1" applyAlignment="1">
      <alignment horizontal="center" vertical="top" wrapText="1"/>
    </xf>
    <xf numFmtId="0" fontId="7" fillId="10" borderId="44" xfId="0" applyFont="1" applyFill="1" applyBorder="1" applyAlignment="1">
      <alignment horizontal="left" vertical="top" wrapText="1"/>
    </xf>
    <xf numFmtId="0" fontId="7" fillId="10" borderId="28" xfId="0" applyFont="1" applyFill="1" applyBorder="1" applyAlignment="1">
      <alignment horizontal="left" vertical="top" wrapText="1"/>
    </xf>
    <xf numFmtId="0" fontId="7" fillId="10" borderId="50" xfId="0" applyFont="1" applyFill="1" applyBorder="1" applyAlignment="1">
      <alignment horizontal="left" vertical="top" wrapText="1"/>
    </xf>
    <xf numFmtId="0" fontId="8" fillId="0" borderId="41" xfId="0" applyFont="1" applyBorder="1" applyAlignment="1">
      <alignment horizontal="left" vertical="top" wrapText="1"/>
    </xf>
    <xf numFmtId="0" fontId="8" fillId="4" borderId="9" xfId="0" applyFont="1" applyFill="1" applyBorder="1" applyAlignment="1">
      <alignment horizontal="center" vertical="center" wrapText="1"/>
    </xf>
    <xf numFmtId="0" fontId="8" fillId="4" borderId="8" xfId="0" applyFont="1" applyFill="1" applyBorder="1" applyAlignment="1">
      <alignment horizontal="center" vertical="center" wrapText="1"/>
    </xf>
    <xf numFmtId="0" fontId="8" fillId="7" borderId="9" xfId="0" applyFont="1" applyFill="1" applyBorder="1" applyAlignment="1">
      <alignment horizontal="center" vertical="center"/>
    </xf>
    <xf numFmtId="0" fontId="8" fillId="7" borderId="6" xfId="0" applyFont="1" applyFill="1" applyBorder="1" applyAlignment="1">
      <alignment horizontal="center" vertical="center"/>
    </xf>
    <xf numFmtId="0" fontId="22" fillId="2" borderId="40" xfId="0" applyFont="1" applyFill="1" applyBorder="1" applyAlignment="1">
      <alignment horizontal="left" vertical="top" wrapText="1"/>
    </xf>
    <xf numFmtId="0" fontId="22" fillId="2" borderId="24" xfId="0" applyFont="1" applyFill="1" applyBorder="1" applyAlignment="1">
      <alignment horizontal="left" vertical="top" wrapText="1"/>
    </xf>
    <xf numFmtId="0" fontId="22" fillId="2" borderId="41" xfId="0" applyFont="1" applyFill="1" applyBorder="1" applyAlignment="1">
      <alignment horizontal="left" vertical="top" wrapText="1"/>
    </xf>
    <xf numFmtId="0" fontId="7" fillId="0" borderId="27" xfId="0" applyFont="1" applyBorder="1" applyAlignment="1">
      <alignment horizontal="left" vertical="top" wrapText="1"/>
    </xf>
    <xf numFmtId="0" fontId="7" fillId="0" borderId="28" xfId="0" applyFont="1" applyBorder="1" applyAlignment="1">
      <alignment horizontal="left" vertical="top" wrapText="1"/>
    </xf>
    <xf numFmtId="0" fontId="8" fillId="0" borderId="20" xfId="0" applyFont="1" applyBorder="1" applyAlignment="1">
      <alignment horizontal="left" vertical="top" wrapText="1"/>
    </xf>
    <xf numFmtId="0" fontId="8" fillId="0" borderId="21" xfId="0" applyFont="1" applyBorder="1" applyAlignment="1">
      <alignment horizontal="left" vertical="top" wrapText="1"/>
    </xf>
    <xf numFmtId="0" fontId="8" fillId="0" borderId="26" xfId="0" applyFont="1" applyBorder="1" applyAlignment="1">
      <alignment horizontal="left" vertical="top" wrapText="1"/>
    </xf>
    <xf numFmtId="0" fontId="8" fillId="8" borderId="44" xfId="0" applyFont="1" applyFill="1" applyBorder="1" applyAlignment="1">
      <alignment horizontal="center" vertical="center"/>
    </xf>
    <xf numFmtId="0" fontId="8" fillId="8" borderId="29" xfId="0" applyFont="1" applyFill="1" applyBorder="1" applyAlignment="1">
      <alignment horizontal="center" vertical="center"/>
    </xf>
    <xf numFmtId="0" fontId="49" fillId="0" borderId="59" xfId="0" applyFont="1" applyBorder="1" applyAlignment="1">
      <alignment horizontal="left" vertical="top" wrapText="1"/>
    </xf>
    <xf numFmtId="0" fontId="49" fillId="0" borderId="49" xfId="0" applyFont="1" applyBorder="1" applyAlignment="1">
      <alignment horizontal="left" vertical="top" wrapText="1"/>
    </xf>
    <xf numFmtId="0" fontId="49" fillId="0" borderId="60" xfId="0" applyFont="1" applyBorder="1" applyAlignment="1">
      <alignment horizontal="left" vertical="top" wrapText="1"/>
    </xf>
    <xf numFmtId="0" fontId="49" fillId="0" borderId="54" xfId="0" applyFont="1" applyBorder="1" applyAlignment="1">
      <alignment horizontal="left" vertical="center" wrapText="1"/>
    </xf>
    <xf numFmtId="0" fontId="49" fillId="0" borderId="48" xfId="0" applyFont="1" applyBorder="1" applyAlignment="1">
      <alignment horizontal="left" vertical="center" wrapText="1"/>
    </xf>
    <xf numFmtId="0" fontId="49" fillId="0" borderId="79" xfId="0" applyFont="1" applyBorder="1" applyAlignment="1">
      <alignment horizontal="left" vertical="center" wrapText="1"/>
    </xf>
    <xf numFmtId="0" fontId="7" fillId="0" borderId="54" xfId="0" applyFont="1" applyBorder="1" applyAlignment="1">
      <alignment horizontal="left" vertical="center" wrapText="1"/>
    </xf>
    <xf numFmtId="0" fontId="7" fillId="0" borderId="48" xfId="0" applyFont="1" applyBorder="1" applyAlignment="1">
      <alignment horizontal="left" vertical="center" wrapText="1"/>
    </xf>
    <xf numFmtId="0" fontId="7" fillId="0" borderId="79" xfId="0" applyFont="1" applyBorder="1" applyAlignment="1">
      <alignment horizontal="left" vertical="center" wrapText="1"/>
    </xf>
    <xf numFmtId="0" fontId="8" fillId="0" borderId="23" xfId="0" applyFont="1" applyBorder="1" applyAlignment="1">
      <alignment horizontal="left" vertical="center" wrapText="1"/>
    </xf>
    <xf numFmtId="0" fontId="8" fillId="0" borderId="25" xfId="0" applyFont="1" applyBorder="1" applyAlignment="1">
      <alignment horizontal="left" vertical="center" wrapText="1"/>
    </xf>
    <xf numFmtId="49" fontId="18" fillId="4" borderId="167" xfId="1" applyNumberFormat="1" applyFont="1" applyFill="1" applyBorder="1" applyAlignment="1">
      <alignment horizontal="center" vertical="center"/>
    </xf>
    <xf numFmtId="49" fontId="18" fillId="4" borderId="48" xfId="1" applyNumberFormat="1" applyFont="1" applyFill="1" applyBorder="1" applyAlignment="1">
      <alignment horizontal="center" vertical="center"/>
    </xf>
    <xf numFmtId="49" fontId="18" fillId="4" borderId="0" xfId="1" applyNumberFormat="1" applyFont="1" applyFill="1" applyBorder="1" applyAlignment="1">
      <alignment horizontal="center" vertical="center"/>
    </xf>
    <xf numFmtId="49" fontId="18" fillId="4" borderId="66" xfId="1" applyNumberFormat="1" applyFont="1" applyFill="1" applyBorder="1" applyAlignment="1">
      <alignment horizontal="center" vertical="center"/>
    </xf>
    <xf numFmtId="0" fontId="7" fillId="4" borderId="63" xfId="0" applyFont="1" applyFill="1" applyBorder="1" applyAlignment="1">
      <alignment horizontal="center" vertical="center" wrapText="1"/>
    </xf>
    <xf numFmtId="0" fontId="7" fillId="4" borderId="172" xfId="0" applyFont="1" applyFill="1" applyBorder="1" applyAlignment="1">
      <alignment horizontal="center" vertical="center" wrapText="1"/>
    </xf>
    <xf numFmtId="0" fontId="7" fillId="0" borderId="59" xfId="0" applyFont="1" applyBorder="1" applyAlignment="1">
      <alignment horizontal="center" vertical="top" wrapText="1"/>
    </xf>
    <xf numFmtId="0" fontId="7" fillId="0" borderId="49" xfId="0" applyFont="1" applyBorder="1" applyAlignment="1">
      <alignment horizontal="center" vertical="top" wrapText="1"/>
    </xf>
    <xf numFmtId="0" fontId="7" fillId="0" borderId="40" xfId="0" applyFont="1" applyBorder="1" applyAlignment="1">
      <alignment horizontal="center" vertical="top" wrapText="1"/>
    </xf>
    <xf numFmtId="0" fontId="7" fillId="0" borderId="41" xfId="0" applyFont="1" applyBorder="1" applyAlignment="1">
      <alignment horizontal="center" vertical="top" wrapText="1"/>
    </xf>
    <xf numFmtId="0" fontId="7" fillId="0" borderId="60" xfId="0" applyFont="1" applyBorder="1" applyAlignment="1">
      <alignment horizontal="center" vertical="top" wrapText="1"/>
    </xf>
  </cellXfs>
  <cellStyles count="4">
    <cellStyle name="Hyperlink" xfId="3" builtinId="8"/>
    <cellStyle name="Neutral" xfId="2" builtinId="28"/>
    <cellStyle name="Normal" xfId="0" builtinId="0"/>
    <cellStyle name="Normal 3" xfId="1"/>
  </cellStyles>
  <dxfs count="1978">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1"/>
      </font>
      <fill>
        <patternFill>
          <bgColor rgb="FFFFFF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34998626667073579"/>
      </font>
      <fill>
        <patternFill>
          <bgColor theme="0" tint="-0.34998626667073579"/>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tint="-0.24994659260841701"/>
      </font>
      <fill>
        <patternFill>
          <bgColor theme="0" tint="-0.24994659260841701"/>
        </patternFill>
      </fill>
    </dxf>
    <dxf>
      <font>
        <color theme="0" tint="-0.24994659260841701"/>
      </font>
      <fill>
        <patternFill>
          <bgColor theme="0" tint="-0.24994659260841701"/>
        </patternFill>
      </fill>
    </dxf>
    <dxf>
      <font>
        <color theme="0"/>
      </font>
      <fill>
        <patternFill>
          <bgColor rgb="FFFF00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1"/>
      </font>
      <fill>
        <patternFill>
          <bgColor rgb="FFFFFF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24994659260841701"/>
      </font>
      <fill>
        <patternFill>
          <bgColor theme="0" tint="-0.24994659260841701"/>
        </patternFill>
      </fill>
    </dxf>
    <dxf>
      <font>
        <color theme="0" tint="-0.34998626667073579"/>
      </font>
      <fill>
        <patternFill>
          <bgColor theme="0" tint="-0.34998626667073579"/>
        </patternFill>
      </fill>
    </dxf>
    <dxf>
      <font>
        <color theme="0" tint="-0.34998626667073579"/>
      </font>
      <fill>
        <patternFill>
          <bgColor theme="0" tint="-0.34998626667073579"/>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9" tint="0.39994506668294322"/>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val="0"/>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theme="0"/>
        </patternFill>
      </fill>
    </dxf>
    <dxf>
      <font>
        <color theme="0"/>
      </font>
      <fill>
        <patternFill>
          <bgColor theme="0"/>
        </patternFill>
      </fill>
    </dxf>
    <dxf>
      <font>
        <b/>
        <i val="0"/>
        <color theme="1"/>
      </font>
      <fill>
        <patternFill>
          <bgColor rgb="FFFFFF00"/>
        </patternFill>
      </fill>
    </dxf>
    <dxf>
      <font>
        <b/>
        <i val="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val="0"/>
        <i val="0"/>
      </font>
      <fill>
        <patternFill>
          <bgColor rgb="FFFF0000"/>
        </patternFill>
      </fill>
      <border>
        <left style="thin">
          <color auto="1"/>
        </left>
        <right style="thin">
          <color auto="1"/>
        </right>
        <top style="thin">
          <color auto="1"/>
        </top>
        <bottom style="thin">
          <color auto="1"/>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dxf>
    <dxf>
      <font>
        <color theme="9" tint="0.59996337778862885"/>
      </font>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39994506668294322"/>
      </font>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val="0"/>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ill>
        <patternFill>
          <bgColor rgb="FFFF0000"/>
        </patternFill>
      </fill>
    </dxf>
    <dxf>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1"/>
      </font>
      <fill>
        <patternFill>
          <bgColor rgb="FFFFFF00"/>
        </patternFill>
      </fill>
    </dxf>
    <dxf>
      <font>
        <color theme="0"/>
      </font>
      <fill>
        <patternFill>
          <bgColor theme="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auto="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ill>
        <patternFill>
          <bgColor rgb="FFFFFF00"/>
        </patternFill>
      </fill>
    </dxf>
    <dxf>
      <font>
        <color theme="0"/>
      </font>
      <fill>
        <patternFill>
          <bgColor rgb="FFFF0000"/>
        </patternFill>
      </fill>
    </dxf>
    <dxf>
      <font>
        <color theme="0"/>
      </font>
      <fill>
        <patternFill>
          <bgColor theme="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auto="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tint="0.499984740745262"/>
      </font>
      <fill>
        <patternFill>
          <bgColor theme="1" tint="0.499984740745262"/>
        </patternFill>
      </fill>
    </dxf>
    <dxf>
      <font>
        <color theme="9" tint="0.59996337778862885"/>
      </font>
      <fill>
        <patternFill>
          <bgColor theme="9" tint="0.59996337778862885"/>
        </patternFill>
      </fill>
    </dxf>
    <dxf>
      <font>
        <color theme="0"/>
      </font>
      <fill>
        <patternFill>
          <bgColor theme="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tint="-0.14996795556505021"/>
      </font>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3" tint="0.59996337778862885"/>
      </font>
      <fill>
        <patternFill>
          <bgColor theme="3" tint="0.59996337778862885"/>
        </patternFill>
      </fill>
    </dxf>
    <dxf>
      <font>
        <color theme="1" tint="0.499984740745262"/>
      </font>
      <fill>
        <patternFill>
          <bgColor theme="1" tint="0.499984740745262"/>
        </patternFill>
      </fill>
    </dxf>
    <dxf>
      <font>
        <color theme="2" tint="-9.9948118533890809E-2"/>
      </font>
      <fill>
        <patternFill>
          <bgColor theme="2"/>
        </patternFill>
      </fill>
    </dxf>
    <dxf>
      <font>
        <color theme="1" tint="0.499984740745262"/>
      </font>
      <fill>
        <patternFill>
          <bgColor theme="1" tint="0.499984740745262"/>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bgColor rgb="FFFFFF00"/>
        </patternFill>
      </fill>
    </dxf>
    <dxf>
      <font>
        <color theme="0"/>
      </font>
      <fill>
        <patternFill>
          <bgColor rgb="FFFF0000"/>
        </patternFill>
      </fill>
    </dxf>
    <dxf>
      <font>
        <color theme="1"/>
      </font>
      <fill>
        <patternFill>
          <bgColor rgb="FFFFFF00"/>
        </patternFill>
      </fill>
    </dxf>
    <dxf>
      <font>
        <b/>
        <i/>
        <color theme="1"/>
      </font>
      <fill>
        <patternFill patternType="solid">
          <fgColor rgb="FFFF0000"/>
          <bgColor rgb="FFFFFF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977"/>
      <tableStyleElement type="headerRow" dxfId="197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1085850</xdr:colOff>
      <xdr:row>1</xdr:row>
      <xdr:rowOff>46567</xdr:rowOff>
    </xdr:from>
    <xdr:to>
      <xdr:col>0</xdr:col>
      <xdr:colOff>2355850</xdr:colOff>
      <xdr:row>1</xdr:row>
      <xdr:rowOff>1083734</xdr:rowOff>
    </xdr:to>
    <xdr:pic>
      <xdr:nvPicPr>
        <xdr:cNvPr id="2" name="Picture 1">
          <a:extLst>
            <a:ext uri="{FF2B5EF4-FFF2-40B4-BE49-F238E27FC236}">
              <a16:creationId xmlns:a16="http://schemas.microsoft.com/office/drawing/2014/main" id="{EC591C3C-3BCB-4D5A-9F40-ADC0DE0A12D7}"/>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5850" y="46567"/>
          <a:ext cx="1270000" cy="1037167"/>
        </a:xfrm>
        <a:prstGeom prst="rect">
          <a:avLst/>
        </a:prstGeom>
      </xdr:spPr>
    </xdr:pic>
    <xdr:clientData/>
  </xdr:twoCellAnchor>
  <xdr:twoCellAnchor editAs="oneCell">
    <xdr:from>
      <xdr:col>1</xdr:col>
      <xdr:colOff>5083453</xdr:colOff>
      <xdr:row>1</xdr:row>
      <xdr:rowOff>43255</xdr:rowOff>
    </xdr:from>
    <xdr:to>
      <xdr:col>1</xdr:col>
      <xdr:colOff>6460067</xdr:colOff>
      <xdr:row>1</xdr:row>
      <xdr:rowOff>1143921</xdr:rowOff>
    </xdr:to>
    <xdr:pic>
      <xdr:nvPicPr>
        <xdr:cNvPr id="3" name="Shape 4">
          <a:extLst>
            <a:ext uri="{FF2B5EF4-FFF2-40B4-BE49-F238E27FC236}">
              <a16:creationId xmlns:a16="http://schemas.microsoft.com/office/drawing/2014/main" id="{FE80FF37-4731-430E-BA20-2D9CBE6EF181}"/>
            </a:ext>
          </a:extLst>
        </xdr:cNvPr>
        <xdr:cNvPicPr/>
      </xdr:nvPicPr>
      <xdr:blipFill rotWithShape="1">
        <a:blip xmlns:r="http://schemas.openxmlformats.org/officeDocument/2006/relationships" r:embed="rId2">
          <a:alphaModFix/>
        </a:blip>
        <a:srcRect/>
        <a:stretch/>
      </xdr:blipFill>
      <xdr:spPr>
        <a:xfrm>
          <a:off x="8112403" y="43255"/>
          <a:ext cx="1376614" cy="1100666"/>
        </a:xfrm>
        <a:prstGeom prst="rect">
          <a:avLst/>
        </a:prstGeom>
        <a:noFill/>
        <a:ln>
          <a:noFill/>
        </a:ln>
      </xdr:spPr>
    </xdr:pic>
    <xdr:clientData/>
  </xdr:twoCellAnchor>
  <xdr:twoCellAnchor editAs="oneCell">
    <xdr:from>
      <xdr:col>6</xdr:col>
      <xdr:colOff>74855</xdr:colOff>
      <xdr:row>1</xdr:row>
      <xdr:rowOff>63502</xdr:rowOff>
    </xdr:from>
    <xdr:to>
      <xdr:col>10</xdr:col>
      <xdr:colOff>29633</xdr:colOff>
      <xdr:row>1</xdr:row>
      <xdr:rowOff>1143002</xdr:rowOff>
    </xdr:to>
    <xdr:pic>
      <xdr:nvPicPr>
        <xdr:cNvPr id="4" name="Shape 5">
          <a:extLst>
            <a:ext uri="{FF2B5EF4-FFF2-40B4-BE49-F238E27FC236}">
              <a16:creationId xmlns:a16="http://schemas.microsoft.com/office/drawing/2014/main" id="{26B071F8-9EA2-4570-ABD1-CC2D83C39BAF}"/>
            </a:ext>
          </a:extLst>
        </xdr:cNvPr>
        <xdr:cNvPicPr/>
      </xdr:nvPicPr>
      <xdr:blipFill rotWithShape="1">
        <a:blip xmlns:r="http://schemas.openxmlformats.org/officeDocument/2006/relationships" r:embed="rId3">
          <a:alphaModFix/>
        </a:blip>
        <a:srcRect t="13575" b="20814"/>
        <a:stretch/>
      </xdr:blipFill>
      <xdr:spPr>
        <a:xfrm>
          <a:off x="14133755" y="63502"/>
          <a:ext cx="2012178" cy="1079500"/>
        </a:xfrm>
        <a:prstGeom prst="rect">
          <a:avLst/>
        </a:prstGeom>
        <a:noFill/>
        <a:ln>
          <a:noFill/>
        </a:ln>
      </xdr:spPr>
    </xdr:pic>
    <xdr:clientData/>
  </xdr:twoCellAnchor>
  <xdr:twoCellAnchor editAs="oneCell">
    <xdr:from>
      <xdr:col>18</xdr:col>
      <xdr:colOff>205210</xdr:colOff>
      <xdr:row>1</xdr:row>
      <xdr:rowOff>374649</xdr:rowOff>
    </xdr:from>
    <xdr:to>
      <xdr:col>23</xdr:col>
      <xdr:colOff>306148</xdr:colOff>
      <xdr:row>1</xdr:row>
      <xdr:rowOff>810434</xdr:rowOff>
    </xdr:to>
    <xdr:pic>
      <xdr:nvPicPr>
        <xdr:cNvPr id="5" name="Shape 7">
          <a:extLst>
            <a:ext uri="{FF2B5EF4-FFF2-40B4-BE49-F238E27FC236}">
              <a16:creationId xmlns:a16="http://schemas.microsoft.com/office/drawing/2014/main" id="{0EFD81E9-0E08-49F4-9498-88819FBAC9B5}"/>
            </a:ext>
          </a:extLst>
        </xdr:cNvPr>
        <xdr:cNvPicPr/>
      </xdr:nvPicPr>
      <xdr:blipFill rotWithShape="1">
        <a:blip xmlns:r="http://schemas.openxmlformats.org/officeDocument/2006/relationships" r:embed="rId4">
          <a:alphaModFix/>
        </a:blip>
        <a:srcRect/>
        <a:stretch/>
      </xdr:blipFill>
      <xdr:spPr>
        <a:xfrm>
          <a:off x="20436310" y="374649"/>
          <a:ext cx="2672688" cy="435785"/>
        </a:xfrm>
        <a:prstGeom prst="rect">
          <a:avLst/>
        </a:prstGeom>
        <a:noFill/>
        <a:ln>
          <a:noFill/>
        </a:ln>
      </xdr:spPr>
    </xdr:pic>
    <xdr:clientData/>
  </xdr:twoCellAnchor>
  <xdr:twoCellAnchor editAs="oneCell">
    <xdr:from>
      <xdr:col>29</xdr:col>
      <xdr:colOff>262466</xdr:colOff>
      <xdr:row>1</xdr:row>
      <xdr:rowOff>27517</xdr:rowOff>
    </xdr:from>
    <xdr:to>
      <xdr:col>33</xdr:col>
      <xdr:colOff>607483</xdr:colOff>
      <xdr:row>1</xdr:row>
      <xdr:rowOff>1085850</xdr:rowOff>
    </xdr:to>
    <xdr:pic>
      <xdr:nvPicPr>
        <xdr:cNvPr id="6" name="Shape 8">
          <a:extLst>
            <a:ext uri="{FF2B5EF4-FFF2-40B4-BE49-F238E27FC236}">
              <a16:creationId xmlns:a16="http://schemas.microsoft.com/office/drawing/2014/main" id="{7532368D-E47A-4675-B0B1-9A439F8F0594}"/>
            </a:ext>
          </a:extLst>
        </xdr:cNvPr>
        <xdr:cNvPicPr/>
      </xdr:nvPicPr>
      <xdr:blipFill rotWithShape="1">
        <a:blip xmlns:r="http://schemas.openxmlformats.org/officeDocument/2006/relationships" r:embed="rId5">
          <a:alphaModFix/>
        </a:blip>
        <a:srcRect b="17423"/>
        <a:stretch/>
      </xdr:blipFill>
      <xdr:spPr>
        <a:xfrm>
          <a:off x="26684816" y="27517"/>
          <a:ext cx="2783417" cy="1058333"/>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I448"/>
  <sheetViews>
    <sheetView showGridLines="0" showWhiteSpace="0" zoomScale="40" zoomScaleNormal="40" zoomScalePageLayoutView="30" workbookViewId="0">
      <pane xSplit="4" ySplit="2" topLeftCell="E295" activePane="bottomRight" state="frozen"/>
      <selection pane="topRight" activeCell="D1" sqref="D1"/>
      <selection pane="bottomLeft" activeCell="A3" sqref="A3"/>
      <selection pane="bottomRight" activeCell="B309" sqref="B309:B310"/>
    </sheetView>
  </sheetViews>
  <sheetFormatPr defaultColWidth="9" defaultRowHeight="28.5" x14ac:dyDescent="0.45"/>
  <cols>
    <col min="1" max="1" width="6.42578125" style="404" customWidth="1"/>
    <col min="2" max="2" width="52.140625" style="766" customWidth="1" collapsed="1"/>
    <col min="3" max="3" width="79.5703125" style="457" customWidth="1" collapsed="1"/>
    <col min="4" max="4" width="20.140625" style="782" bestFit="1" customWidth="1" collapsed="1"/>
    <col min="5" max="5" width="196.85546875" style="458" customWidth="1" collapsed="1"/>
    <col min="6" max="6" width="86" style="459" customWidth="1" collapsed="1"/>
    <col min="7" max="35" width="9" style="816"/>
    <col min="36" max="139" width="9" style="816" collapsed="1"/>
    <col min="140" max="16384" width="9" style="404" collapsed="1"/>
  </cols>
  <sheetData>
    <row r="1" spans="2:139" ht="79.5" customHeight="1" x14ac:dyDescent="0.45">
      <c r="B1" s="1051" t="s">
        <v>98</v>
      </c>
      <c r="C1" s="1052"/>
      <c r="D1" s="1052"/>
      <c r="E1" s="1052"/>
      <c r="F1" s="822"/>
    </row>
    <row r="2" spans="2:139" s="405" customFormat="1" x14ac:dyDescent="0.45">
      <c r="B2" s="764" t="s">
        <v>36</v>
      </c>
      <c r="C2" s="406" t="s">
        <v>37</v>
      </c>
      <c r="D2" s="767" t="s">
        <v>130</v>
      </c>
      <c r="E2" s="407" t="s">
        <v>35</v>
      </c>
      <c r="F2" s="823" t="s">
        <v>119</v>
      </c>
      <c r="G2" s="825"/>
      <c r="H2" s="825"/>
      <c r="I2" s="825"/>
      <c r="J2" s="825"/>
      <c r="K2" s="825"/>
      <c r="L2" s="825"/>
      <c r="M2" s="825"/>
      <c r="N2" s="825"/>
      <c r="O2" s="825"/>
      <c r="P2" s="825"/>
      <c r="Q2" s="825"/>
      <c r="R2" s="825"/>
      <c r="S2" s="825"/>
      <c r="T2" s="825"/>
      <c r="U2" s="825"/>
      <c r="V2" s="825"/>
      <c r="W2" s="825"/>
      <c r="X2" s="825"/>
      <c r="Y2" s="825"/>
      <c r="Z2" s="825"/>
      <c r="AA2" s="825"/>
      <c r="AB2" s="825"/>
      <c r="AC2" s="825"/>
      <c r="AD2" s="825"/>
      <c r="AE2" s="825"/>
      <c r="AF2" s="825"/>
      <c r="AG2" s="825"/>
      <c r="AH2" s="825"/>
      <c r="AI2" s="825"/>
      <c r="AJ2" s="825"/>
      <c r="AK2" s="825"/>
      <c r="AL2" s="825"/>
      <c r="AM2" s="825"/>
      <c r="AN2" s="825"/>
      <c r="AO2" s="825"/>
      <c r="AP2" s="825"/>
      <c r="AQ2" s="825"/>
      <c r="AR2" s="825"/>
      <c r="AS2" s="825"/>
      <c r="AT2" s="825"/>
      <c r="AU2" s="825"/>
      <c r="AV2" s="825"/>
      <c r="AW2" s="825"/>
      <c r="AX2" s="825"/>
      <c r="AY2" s="825"/>
      <c r="AZ2" s="825"/>
      <c r="BA2" s="825"/>
      <c r="BB2" s="825"/>
      <c r="BC2" s="825"/>
      <c r="BD2" s="825"/>
      <c r="BE2" s="825"/>
      <c r="BF2" s="825"/>
      <c r="BG2" s="825"/>
      <c r="BH2" s="825"/>
      <c r="BI2" s="825"/>
      <c r="BJ2" s="825"/>
      <c r="BK2" s="825"/>
      <c r="BL2" s="825"/>
      <c r="BM2" s="825"/>
      <c r="BN2" s="825"/>
      <c r="BO2" s="825"/>
      <c r="BP2" s="825"/>
      <c r="BQ2" s="825"/>
      <c r="BR2" s="825"/>
      <c r="BS2" s="825"/>
      <c r="BT2" s="825"/>
      <c r="BU2" s="825"/>
      <c r="BV2" s="825"/>
      <c r="BW2" s="825"/>
      <c r="BX2" s="825"/>
      <c r="BY2" s="825"/>
      <c r="BZ2" s="825"/>
      <c r="CA2" s="825"/>
      <c r="CB2" s="825"/>
      <c r="CC2" s="825"/>
      <c r="CD2" s="825"/>
      <c r="CE2" s="825"/>
      <c r="CF2" s="825"/>
      <c r="CG2" s="825"/>
      <c r="CH2" s="825"/>
      <c r="CI2" s="825"/>
      <c r="CJ2" s="825"/>
      <c r="CK2" s="825"/>
      <c r="CL2" s="825"/>
      <c r="CM2" s="825"/>
      <c r="CN2" s="825"/>
      <c r="CO2" s="825"/>
      <c r="CP2" s="825"/>
      <c r="CQ2" s="825"/>
      <c r="CR2" s="825"/>
      <c r="CS2" s="825"/>
      <c r="CT2" s="825"/>
      <c r="CU2" s="825"/>
      <c r="CV2" s="825"/>
      <c r="CW2" s="825"/>
      <c r="CX2" s="825"/>
      <c r="CY2" s="825"/>
      <c r="CZ2" s="825"/>
      <c r="DA2" s="825"/>
      <c r="DB2" s="825"/>
      <c r="DC2" s="825"/>
      <c r="DD2" s="825"/>
      <c r="DE2" s="825"/>
      <c r="DF2" s="825"/>
      <c r="DG2" s="825"/>
      <c r="DH2" s="825"/>
      <c r="DI2" s="825"/>
      <c r="DJ2" s="825"/>
      <c r="DK2" s="825"/>
      <c r="DL2" s="825"/>
      <c r="DM2" s="825"/>
      <c r="DN2" s="825"/>
      <c r="DO2" s="825"/>
      <c r="DP2" s="825"/>
      <c r="DQ2" s="825"/>
      <c r="DR2" s="825"/>
      <c r="DS2" s="825"/>
      <c r="DT2" s="825"/>
      <c r="DU2" s="825"/>
      <c r="DV2" s="825"/>
      <c r="DW2" s="825"/>
      <c r="DX2" s="825"/>
      <c r="DY2" s="825"/>
      <c r="DZ2" s="825"/>
      <c r="EA2" s="825"/>
      <c r="EB2" s="825"/>
      <c r="EC2" s="825"/>
      <c r="ED2" s="825"/>
      <c r="EE2" s="825"/>
      <c r="EF2" s="825"/>
      <c r="EG2" s="825"/>
      <c r="EH2" s="825"/>
      <c r="EI2" s="825"/>
    </row>
    <row r="3" spans="2:139" s="405" customFormat="1" ht="7.5" customHeight="1" x14ac:dyDescent="0.45">
      <c r="B3" s="765"/>
      <c r="C3" s="408"/>
      <c r="D3" s="768"/>
      <c r="E3" s="409"/>
      <c r="F3" s="824"/>
      <c r="G3" s="825"/>
      <c r="H3" s="825"/>
      <c r="I3" s="825"/>
      <c r="J3" s="825"/>
      <c r="K3" s="825"/>
      <c r="L3" s="825"/>
      <c r="M3" s="825"/>
      <c r="N3" s="825"/>
      <c r="O3" s="825"/>
      <c r="P3" s="825"/>
      <c r="Q3" s="825"/>
      <c r="R3" s="825"/>
      <c r="S3" s="825"/>
      <c r="T3" s="825"/>
      <c r="U3" s="825"/>
      <c r="V3" s="825"/>
      <c r="W3" s="825"/>
      <c r="X3" s="825"/>
      <c r="Y3" s="825"/>
      <c r="Z3" s="825"/>
      <c r="AA3" s="825"/>
      <c r="AB3" s="825"/>
      <c r="AC3" s="825"/>
      <c r="AD3" s="825"/>
      <c r="AE3" s="825"/>
      <c r="AF3" s="825"/>
      <c r="AG3" s="825"/>
      <c r="AH3" s="825"/>
      <c r="AI3" s="825"/>
      <c r="AJ3" s="825"/>
      <c r="AK3" s="825"/>
      <c r="AL3" s="825"/>
      <c r="AM3" s="825"/>
      <c r="AN3" s="825"/>
      <c r="AO3" s="825"/>
      <c r="AP3" s="825"/>
      <c r="AQ3" s="825"/>
      <c r="AR3" s="825"/>
      <c r="AS3" s="825"/>
      <c r="AT3" s="825"/>
      <c r="AU3" s="825"/>
      <c r="AV3" s="825"/>
      <c r="AW3" s="825"/>
      <c r="AX3" s="825"/>
      <c r="AY3" s="825"/>
      <c r="AZ3" s="825"/>
      <c r="BA3" s="825"/>
      <c r="BB3" s="825"/>
      <c r="BC3" s="825"/>
      <c r="BD3" s="825"/>
      <c r="BE3" s="825"/>
      <c r="BF3" s="825"/>
      <c r="BG3" s="825"/>
      <c r="BH3" s="825"/>
      <c r="BI3" s="825"/>
      <c r="BJ3" s="825"/>
      <c r="BK3" s="825"/>
      <c r="BL3" s="825"/>
      <c r="BM3" s="825"/>
      <c r="BN3" s="825"/>
      <c r="BO3" s="825"/>
      <c r="BP3" s="825"/>
      <c r="BQ3" s="825"/>
      <c r="BR3" s="825"/>
      <c r="BS3" s="825"/>
      <c r="BT3" s="825"/>
      <c r="BU3" s="825"/>
      <c r="BV3" s="825"/>
      <c r="BW3" s="825"/>
      <c r="BX3" s="825"/>
      <c r="BY3" s="825"/>
      <c r="BZ3" s="825"/>
      <c r="CA3" s="825"/>
      <c r="CB3" s="825"/>
      <c r="CC3" s="825"/>
      <c r="CD3" s="825"/>
      <c r="CE3" s="825"/>
      <c r="CF3" s="825"/>
      <c r="CG3" s="825"/>
      <c r="CH3" s="825"/>
      <c r="CI3" s="825"/>
      <c r="CJ3" s="825"/>
      <c r="CK3" s="825"/>
      <c r="CL3" s="825"/>
      <c r="CM3" s="825"/>
      <c r="CN3" s="825"/>
      <c r="CO3" s="825"/>
      <c r="CP3" s="825"/>
      <c r="CQ3" s="825"/>
      <c r="CR3" s="825"/>
      <c r="CS3" s="825"/>
      <c r="CT3" s="825"/>
      <c r="CU3" s="825"/>
      <c r="CV3" s="825"/>
      <c r="CW3" s="825"/>
      <c r="CX3" s="825"/>
      <c r="CY3" s="825"/>
      <c r="CZ3" s="825"/>
      <c r="DA3" s="825"/>
      <c r="DB3" s="825"/>
      <c r="DC3" s="825"/>
      <c r="DD3" s="825"/>
      <c r="DE3" s="825"/>
      <c r="DF3" s="825"/>
      <c r="DG3" s="825"/>
      <c r="DH3" s="825"/>
      <c r="DI3" s="825"/>
      <c r="DJ3" s="825"/>
      <c r="DK3" s="825"/>
      <c r="DL3" s="825"/>
      <c r="DM3" s="825"/>
      <c r="DN3" s="825"/>
      <c r="DO3" s="825"/>
      <c r="DP3" s="825"/>
      <c r="DQ3" s="825"/>
      <c r="DR3" s="825"/>
      <c r="DS3" s="825"/>
      <c r="DT3" s="825"/>
      <c r="DU3" s="825"/>
      <c r="DV3" s="825"/>
      <c r="DW3" s="825"/>
      <c r="DX3" s="825"/>
      <c r="DY3" s="825"/>
      <c r="DZ3" s="825"/>
      <c r="EA3" s="825"/>
      <c r="EB3" s="825"/>
      <c r="EC3" s="825"/>
      <c r="ED3" s="825"/>
      <c r="EE3" s="825"/>
      <c r="EF3" s="825"/>
      <c r="EG3" s="825"/>
      <c r="EH3" s="825"/>
      <c r="EI3" s="825"/>
    </row>
    <row r="4" spans="2:139" s="405" customFormat="1" ht="29.25" hidden="1" thickBot="1" x14ac:dyDescent="0.5">
      <c r="B4" s="1063" t="s">
        <v>444</v>
      </c>
      <c r="C4" s="1064"/>
      <c r="D4" s="1064"/>
      <c r="E4" s="1064"/>
      <c r="F4" s="1065"/>
      <c r="G4" s="825"/>
      <c r="H4" s="825"/>
      <c r="I4" s="825"/>
      <c r="J4" s="825"/>
      <c r="K4" s="825"/>
      <c r="L4" s="825"/>
      <c r="M4" s="825"/>
      <c r="N4" s="825"/>
      <c r="O4" s="825"/>
      <c r="P4" s="825"/>
      <c r="Q4" s="825"/>
      <c r="R4" s="825"/>
      <c r="S4" s="825"/>
      <c r="T4" s="825"/>
      <c r="U4" s="825"/>
      <c r="V4" s="825"/>
      <c r="W4" s="825"/>
      <c r="X4" s="825"/>
      <c r="Y4" s="825"/>
      <c r="Z4" s="825"/>
      <c r="AA4" s="825"/>
      <c r="AB4" s="825"/>
      <c r="AC4" s="825"/>
      <c r="AD4" s="825"/>
      <c r="AE4" s="825"/>
      <c r="AF4" s="825"/>
      <c r="AG4" s="825"/>
      <c r="AH4" s="825"/>
      <c r="AI4" s="825"/>
      <c r="AJ4" s="825"/>
      <c r="AK4" s="825"/>
      <c r="AL4" s="825"/>
      <c r="AM4" s="825"/>
      <c r="AN4" s="825"/>
      <c r="AO4" s="825"/>
      <c r="AP4" s="825"/>
      <c r="AQ4" s="825"/>
      <c r="AR4" s="825"/>
      <c r="AS4" s="825"/>
      <c r="AT4" s="825"/>
      <c r="AU4" s="825"/>
      <c r="AV4" s="825"/>
      <c r="AW4" s="825"/>
      <c r="AX4" s="825"/>
      <c r="AY4" s="825"/>
      <c r="AZ4" s="825"/>
      <c r="BA4" s="825"/>
      <c r="BB4" s="825"/>
      <c r="BC4" s="825"/>
      <c r="BD4" s="825"/>
      <c r="BE4" s="825"/>
      <c r="BF4" s="825"/>
      <c r="BG4" s="825"/>
      <c r="BH4" s="825"/>
      <c r="BI4" s="825"/>
      <c r="BJ4" s="825"/>
      <c r="BK4" s="825"/>
      <c r="BL4" s="825"/>
      <c r="BM4" s="825"/>
      <c r="BN4" s="825"/>
      <c r="BO4" s="825"/>
      <c r="BP4" s="825"/>
      <c r="BQ4" s="825"/>
      <c r="BR4" s="825"/>
      <c r="BS4" s="825"/>
      <c r="BT4" s="825"/>
      <c r="BU4" s="825"/>
      <c r="BV4" s="825"/>
      <c r="BW4" s="825"/>
      <c r="BX4" s="825"/>
      <c r="BY4" s="825"/>
      <c r="BZ4" s="825"/>
      <c r="CA4" s="825"/>
      <c r="CB4" s="825"/>
      <c r="CC4" s="825"/>
      <c r="CD4" s="825"/>
      <c r="CE4" s="825"/>
      <c r="CF4" s="825"/>
      <c r="CG4" s="825"/>
      <c r="CH4" s="825"/>
      <c r="CI4" s="825"/>
      <c r="CJ4" s="825"/>
      <c r="CK4" s="825"/>
      <c r="CL4" s="825"/>
      <c r="CM4" s="825"/>
      <c r="CN4" s="825"/>
      <c r="CO4" s="825"/>
      <c r="CP4" s="825"/>
      <c r="CQ4" s="825"/>
      <c r="CR4" s="825"/>
      <c r="CS4" s="825"/>
      <c r="CT4" s="825"/>
      <c r="CU4" s="825"/>
      <c r="CV4" s="825"/>
      <c r="CW4" s="825"/>
      <c r="CX4" s="825"/>
      <c r="CY4" s="825"/>
      <c r="CZ4" s="825"/>
      <c r="DA4" s="825"/>
      <c r="DB4" s="825"/>
      <c r="DC4" s="825"/>
      <c r="DD4" s="825"/>
      <c r="DE4" s="825"/>
      <c r="DF4" s="825"/>
      <c r="DG4" s="825"/>
      <c r="DH4" s="825"/>
      <c r="DI4" s="825"/>
      <c r="DJ4" s="825"/>
      <c r="DK4" s="825"/>
      <c r="DL4" s="825"/>
      <c r="DM4" s="825"/>
      <c r="DN4" s="825"/>
      <c r="DO4" s="825"/>
      <c r="DP4" s="825"/>
      <c r="DQ4" s="825"/>
      <c r="DR4" s="825"/>
      <c r="DS4" s="825"/>
      <c r="DT4" s="825"/>
      <c r="DU4" s="825"/>
      <c r="DV4" s="825"/>
      <c r="DW4" s="825"/>
      <c r="DX4" s="825"/>
      <c r="DY4" s="825"/>
      <c r="DZ4" s="825"/>
      <c r="EA4" s="825"/>
      <c r="EB4" s="825"/>
      <c r="EC4" s="825"/>
      <c r="ED4" s="825"/>
      <c r="EE4" s="825"/>
      <c r="EF4" s="825"/>
      <c r="EG4" s="825"/>
      <c r="EH4" s="825"/>
      <c r="EI4" s="825"/>
    </row>
    <row r="5" spans="2:139" hidden="1" x14ac:dyDescent="0.45">
      <c r="B5" s="1066" t="s">
        <v>794</v>
      </c>
      <c r="C5" s="410" t="s">
        <v>673</v>
      </c>
      <c r="D5" s="769" t="s">
        <v>446</v>
      </c>
      <c r="E5" s="411" t="s">
        <v>674</v>
      </c>
      <c r="F5" s="835" t="s">
        <v>913</v>
      </c>
    </row>
    <row r="6" spans="2:139" hidden="1" x14ac:dyDescent="0.45">
      <c r="B6" s="1067"/>
      <c r="C6" s="412" t="s">
        <v>676</v>
      </c>
      <c r="D6" s="770" t="s">
        <v>447</v>
      </c>
      <c r="E6" s="413" t="s">
        <v>677</v>
      </c>
      <c r="F6" s="836" t="s">
        <v>678</v>
      </c>
    </row>
    <row r="7" spans="2:139" ht="29.25" hidden="1" thickBot="1" x14ac:dyDescent="0.5">
      <c r="B7" s="1068"/>
      <c r="C7" s="414" t="s">
        <v>679</v>
      </c>
      <c r="D7" s="771" t="s">
        <v>448</v>
      </c>
      <c r="E7" s="415" t="s">
        <v>680</v>
      </c>
      <c r="F7" s="837" t="s">
        <v>678</v>
      </c>
    </row>
    <row r="8" spans="2:139" s="416" customFormat="1" ht="57" hidden="1" x14ac:dyDescent="0.45">
      <c r="B8" s="1066" t="s">
        <v>795</v>
      </c>
      <c r="C8" s="417" t="s">
        <v>804</v>
      </c>
      <c r="D8" s="772" t="s">
        <v>797</v>
      </c>
      <c r="E8" s="418" t="s">
        <v>674</v>
      </c>
      <c r="F8" s="838" t="s">
        <v>913</v>
      </c>
      <c r="G8" s="826"/>
      <c r="H8" s="826"/>
      <c r="I8" s="826"/>
      <c r="J8" s="826"/>
      <c r="K8" s="826"/>
      <c r="L8" s="826"/>
      <c r="M8" s="826"/>
      <c r="N8" s="826"/>
      <c r="O8" s="826"/>
      <c r="P8" s="826"/>
      <c r="Q8" s="826"/>
      <c r="R8" s="826"/>
      <c r="S8" s="826"/>
      <c r="T8" s="826"/>
      <c r="U8" s="826"/>
      <c r="V8" s="826"/>
      <c r="W8" s="826"/>
      <c r="X8" s="826"/>
      <c r="Y8" s="826"/>
      <c r="Z8" s="826"/>
      <c r="AA8" s="826"/>
      <c r="AB8" s="826"/>
      <c r="AC8" s="826"/>
      <c r="AD8" s="826"/>
      <c r="AE8" s="826"/>
      <c r="AF8" s="826"/>
      <c r="AG8" s="826"/>
      <c r="AH8" s="826"/>
      <c r="AI8" s="826"/>
      <c r="AJ8" s="826"/>
      <c r="AK8" s="826"/>
      <c r="AL8" s="826"/>
      <c r="AM8" s="826"/>
      <c r="AN8" s="826"/>
      <c r="AO8" s="826"/>
      <c r="AP8" s="826"/>
      <c r="AQ8" s="826"/>
      <c r="AR8" s="826"/>
      <c r="AS8" s="826"/>
      <c r="AT8" s="826"/>
      <c r="AU8" s="826"/>
      <c r="AV8" s="826"/>
      <c r="AW8" s="826"/>
      <c r="AX8" s="826"/>
      <c r="AY8" s="826"/>
      <c r="AZ8" s="826"/>
      <c r="BA8" s="826"/>
      <c r="BB8" s="826"/>
      <c r="BC8" s="826"/>
      <c r="BD8" s="826"/>
      <c r="BE8" s="826"/>
      <c r="BF8" s="826"/>
      <c r="BG8" s="826"/>
      <c r="BH8" s="826"/>
      <c r="BI8" s="826"/>
      <c r="BJ8" s="826"/>
      <c r="BK8" s="826"/>
      <c r="BL8" s="826"/>
      <c r="BM8" s="826"/>
      <c r="BN8" s="826"/>
      <c r="BO8" s="826"/>
      <c r="BP8" s="826"/>
      <c r="BQ8" s="826"/>
      <c r="BR8" s="826"/>
      <c r="BS8" s="826"/>
      <c r="BT8" s="826"/>
      <c r="BU8" s="826"/>
      <c r="BV8" s="826"/>
      <c r="BW8" s="826"/>
      <c r="BX8" s="826"/>
      <c r="BY8" s="826"/>
      <c r="BZ8" s="826"/>
      <c r="CA8" s="826"/>
      <c r="CB8" s="826"/>
      <c r="CC8" s="826"/>
      <c r="CD8" s="826"/>
      <c r="CE8" s="826"/>
      <c r="CF8" s="826"/>
      <c r="CG8" s="826"/>
      <c r="CH8" s="826"/>
      <c r="CI8" s="826"/>
      <c r="CJ8" s="826"/>
      <c r="CK8" s="826"/>
      <c r="CL8" s="826"/>
      <c r="CM8" s="826"/>
      <c r="CN8" s="826"/>
      <c r="CO8" s="826"/>
      <c r="CP8" s="826"/>
      <c r="CQ8" s="826"/>
      <c r="CR8" s="826"/>
      <c r="CS8" s="826"/>
      <c r="CT8" s="826"/>
      <c r="CU8" s="826"/>
      <c r="CV8" s="826"/>
      <c r="CW8" s="826"/>
      <c r="CX8" s="826"/>
      <c r="CY8" s="826"/>
      <c r="CZ8" s="826"/>
      <c r="DA8" s="826"/>
      <c r="DB8" s="826"/>
      <c r="DC8" s="826"/>
      <c r="DD8" s="826"/>
      <c r="DE8" s="826"/>
      <c r="DF8" s="826"/>
      <c r="DG8" s="826"/>
      <c r="DH8" s="826"/>
      <c r="DI8" s="826"/>
      <c r="DJ8" s="826"/>
      <c r="DK8" s="826"/>
      <c r="DL8" s="826"/>
      <c r="DM8" s="826"/>
      <c r="DN8" s="826"/>
      <c r="DO8" s="826"/>
      <c r="DP8" s="826"/>
      <c r="DQ8" s="826"/>
      <c r="DR8" s="826"/>
      <c r="DS8" s="826"/>
      <c r="DT8" s="826"/>
      <c r="DU8" s="826"/>
      <c r="DV8" s="826"/>
      <c r="DW8" s="826"/>
      <c r="DX8" s="826"/>
      <c r="DY8" s="826"/>
      <c r="DZ8" s="826"/>
      <c r="EA8" s="826"/>
      <c r="EB8" s="826"/>
      <c r="EC8" s="826"/>
      <c r="ED8" s="826"/>
      <c r="EE8" s="826"/>
      <c r="EF8" s="826"/>
      <c r="EG8" s="826"/>
      <c r="EH8" s="826"/>
      <c r="EI8" s="826"/>
    </row>
    <row r="9" spans="2:139" s="416" customFormat="1" hidden="1" x14ac:dyDescent="0.45">
      <c r="B9" s="1067"/>
      <c r="C9" s="412" t="s">
        <v>611</v>
      </c>
      <c r="D9" s="770" t="s">
        <v>798</v>
      </c>
      <c r="E9" s="419" t="s">
        <v>677</v>
      </c>
      <c r="F9" s="839" t="s">
        <v>678</v>
      </c>
      <c r="G9" s="826"/>
      <c r="H9" s="826"/>
      <c r="I9" s="826"/>
      <c r="J9" s="826"/>
      <c r="K9" s="826"/>
      <c r="L9" s="826"/>
      <c r="M9" s="826"/>
      <c r="N9" s="826"/>
      <c r="O9" s="826"/>
      <c r="P9" s="826"/>
      <c r="Q9" s="826"/>
      <c r="R9" s="826"/>
      <c r="S9" s="826"/>
      <c r="T9" s="826"/>
      <c r="U9" s="826"/>
      <c r="V9" s="826"/>
      <c r="W9" s="826"/>
      <c r="X9" s="826"/>
      <c r="Y9" s="826"/>
      <c r="Z9" s="826"/>
      <c r="AA9" s="826"/>
      <c r="AB9" s="826"/>
      <c r="AC9" s="826"/>
      <c r="AD9" s="826"/>
      <c r="AE9" s="826"/>
      <c r="AF9" s="826"/>
      <c r="AG9" s="826"/>
      <c r="AH9" s="826"/>
      <c r="AI9" s="826"/>
      <c r="AJ9" s="826"/>
      <c r="AK9" s="826"/>
      <c r="AL9" s="826"/>
      <c r="AM9" s="826"/>
      <c r="AN9" s="826"/>
      <c r="AO9" s="826"/>
      <c r="AP9" s="826"/>
      <c r="AQ9" s="826"/>
      <c r="AR9" s="826"/>
      <c r="AS9" s="826"/>
      <c r="AT9" s="826"/>
      <c r="AU9" s="826"/>
      <c r="AV9" s="826"/>
      <c r="AW9" s="826"/>
      <c r="AX9" s="826"/>
      <c r="AY9" s="826"/>
      <c r="AZ9" s="826"/>
      <c r="BA9" s="826"/>
      <c r="BB9" s="826"/>
      <c r="BC9" s="826"/>
      <c r="BD9" s="826"/>
      <c r="BE9" s="826"/>
      <c r="BF9" s="826"/>
      <c r="BG9" s="826"/>
      <c r="BH9" s="826"/>
      <c r="BI9" s="826"/>
      <c r="BJ9" s="826"/>
      <c r="BK9" s="826"/>
      <c r="BL9" s="826"/>
      <c r="BM9" s="826"/>
      <c r="BN9" s="826"/>
      <c r="BO9" s="826"/>
      <c r="BP9" s="826"/>
      <c r="BQ9" s="826"/>
      <c r="BR9" s="826"/>
      <c r="BS9" s="826"/>
      <c r="BT9" s="826"/>
      <c r="BU9" s="826"/>
      <c r="BV9" s="826"/>
      <c r="BW9" s="826"/>
      <c r="BX9" s="826"/>
      <c r="BY9" s="826"/>
      <c r="BZ9" s="826"/>
      <c r="CA9" s="826"/>
      <c r="CB9" s="826"/>
      <c r="CC9" s="826"/>
      <c r="CD9" s="826"/>
      <c r="CE9" s="826"/>
      <c r="CF9" s="826"/>
      <c r="CG9" s="826"/>
      <c r="CH9" s="826"/>
      <c r="CI9" s="826"/>
      <c r="CJ9" s="826"/>
      <c r="CK9" s="826"/>
      <c r="CL9" s="826"/>
      <c r="CM9" s="826"/>
      <c r="CN9" s="826"/>
      <c r="CO9" s="826"/>
      <c r="CP9" s="826"/>
      <c r="CQ9" s="826"/>
      <c r="CR9" s="826"/>
      <c r="CS9" s="826"/>
      <c r="CT9" s="826"/>
      <c r="CU9" s="826"/>
      <c r="CV9" s="826"/>
      <c r="CW9" s="826"/>
      <c r="CX9" s="826"/>
      <c r="CY9" s="826"/>
      <c r="CZ9" s="826"/>
      <c r="DA9" s="826"/>
      <c r="DB9" s="826"/>
      <c r="DC9" s="826"/>
      <c r="DD9" s="826"/>
      <c r="DE9" s="826"/>
      <c r="DF9" s="826"/>
      <c r="DG9" s="826"/>
      <c r="DH9" s="826"/>
      <c r="DI9" s="826"/>
      <c r="DJ9" s="826"/>
      <c r="DK9" s="826"/>
      <c r="DL9" s="826"/>
      <c r="DM9" s="826"/>
      <c r="DN9" s="826"/>
      <c r="DO9" s="826"/>
      <c r="DP9" s="826"/>
      <c r="DQ9" s="826"/>
      <c r="DR9" s="826"/>
      <c r="DS9" s="826"/>
      <c r="DT9" s="826"/>
      <c r="DU9" s="826"/>
      <c r="DV9" s="826"/>
      <c r="DW9" s="826"/>
      <c r="DX9" s="826"/>
      <c r="DY9" s="826"/>
      <c r="DZ9" s="826"/>
      <c r="EA9" s="826"/>
      <c r="EB9" s="826"/>
      <c r="EC9" s="826"/>
      <c r="ED9" s="826"/>
      <c r="EE9" s="826"/>
      <c r="EF9" s="826"/>
      <c r="EG9" s="826"/>
      <c r="EH9" s="826"/>
      <c r="EI9" s="826"/>
    </row>
    <row r="10" spans="2:139" s="416" customFormat="1" ht="29.25" hidden="1" thickBot="1" x14ac:dyDescent="0.5">
      <c r="B10" s="1068"/>
      <c r="C10" s="414" t="s">
        <v>445</v>
      </c>
      <c r="D10" s="771" t="s">
        <v>799</v>
      </c>
      <c r="E10" s="420" t="s">
        <v>680</v>
      </c>
      <c r="F10" s="840" t="s">
        <v>678</v>
      </c>
      <c r="G10" s="826"/>
      <c r="H10" s="826"/>
      <c r="I10" s="826"/>
      <c r="J10" s="826"/>
      <c r="K10" s="826"/>
      <c r="L10" s="826"/>
      <c r="M10" s="826"/>
      <c r="N10" s="826"/>
      <c r="O10" s="826"/>
      <c r="P10" s="826"/>
      <c r="Q10" s="826"/>
      <c r="R10" s="826"/>
      <c r="S10" s="826"/>
      <c r="T10" s="826"/>
      <c r="U10" s="826"/>
      <c r="V10" s="826"/>
      <c r="W10" s="826"/>
      <c r="X10" s="826"/>
      <c r="Y10" s="826"/>
      <c r="Z10" s="826"/>
      <c r="AA10" s="826"/>
      <c r="AB10" s="826"/>
      <c r="AC10" s="826"/>
      <c r="AD10" s="826"/>
      <c r="AE10" s="826"/>
      <c r="AF10" s="826"/>
      <c r="AG10" s="826"/>
      <c r="AH10" s="826"/>
      <c r="AI10" s="826"/>
      <c r="AJ10" s="826"/>
      <c r="AK10" s="826"/>
      <c r="AL10" s="826"/>
      <c r="AM10" s="826"/>
      <c r="AN10" s="826"/>
      <c r="AO10" s="826"/>
      <c r="AP10" s="826"/>
      <c r="AQ10" s="826"/>
      <c r="AR10" s="826"/>
      <c r="AS10" s="826"/>
      <c r="AT10" s="826"/>
      <c r="AU10" s="826"/>
      <c r="AV10" s="826"/>
      <c r="AW10" s="826"/>
      <c r="AX10" s="826"/>
      <c r="AY10" s="826"/>
      <c r="AZ10" s="826"/>
      <c r="BA10" s="826"/>
      <c r="BB10" s="826"/>
      <c r="BC10" s="826"/>
      <c r="BD10" s="826"/>
      <c r="BE10" s="826"/>
      <c r="BF10" s="826"/>
      <c r="BG10" s="826"/>
      <c r="BH10" s="826"/>
      <c r="BI10" s="826"/>
      <c r="BJ10" s="826"/>
      <c r="BK10" s="826"/>
      <c r="BL10" s="826"/>
      <c r="BM10" s="826"/>
      <c r="BN10" s="826"/>
      <c r="BO10" s="826"/>
      <c r="BP10" s="826"/>
      <c r="BQ10" s="826"/>
      <c r="BR10" s="826"/>
      <c r="BS10" s="826"/>
      <c r="BT10" s="826"/>
      <c r="BU10" s="826"/>
      <c r="BV10" s="826"/>
      <c r="BW10" s="826"/>
      <c r="BX10" s="826"/>
      <c r="BY10" s="826"/>
      <c r="BZ10" s="826"/>
      <c r="CA10" s="826"/>
      <c r="CB10" s="826"/>
      <c r="CC10" s="826"/>
      <c r="CD10" s="826"/>
      <c r="CE10" s="826"/>
      <c r="CF10" s="826"/>
      <c r="CG10" s="826"/>
      <c r="CH10" s="826"/>
      <c r="CI10" s="826"/>
      <c r="CJ10" s="826"/>
      <c r="CK10" s="826"/>
      <c r="CL10" s="826"/>
      <c r="CM10" s="826"/>
      <c r="CN10" s="826"/>
      <c r="CO10" s="826"/>
      <c r="CP10" s="826"/>
      <c r="CQ10" s="826"/>
      <c r="CR10" s="826"/>
      <c r="CS10" s="826"/>
      <c r="CT10" s="826"/>
      <c r="CU10" s="826"/>
      <c r="CV10" s="826"/>
      <c r="CW10" s="826"/>
      <c r="CX10" s="826"/>
      <c r="CY10" s="826"/>
      <c r="CZ10" s="826"/>
      <c r="DA10" s="826"/>
      <c r="DB10" s="826"/>
      <c r="DC10" s="826"/>
      <c r="DD10" s="826"/>
      <c r="DE10" s="826"/>
      <c r="DF10" s="826"/>
      <c r="DG10" s="826"/>
      <c r="DH10" s="826"/>
      <c r="DI10" s="826"/>
      <c r="DJ10" s="826"/>
      <c r="DK10" s="826"/>
      <c r="DL10" s="826"/>
      <c r="DM10" s="826"/>
      <c r="DN10" s="826"/>
      <c r="DO10" s="826"/>
      <c r="DP10" s="826"/>
      <c r="DQ10" s="826"/>
      <c r="DR10" s="826"/>
      <c r="DS10" s="826"/>
      <c r="DT10" s="826"/>
      <c r="DU10" s="826"/>
      <c r="DV10" s="826"/>
      <c r="DW10" s="826"/>
      <c r="DX10" s="826"/>
      <c r="DY10" s="826"/>
      <c r="DZ10" s="826"/>
      <c r="EA10" s="826"/>
      <c r="EB10" s="826"/>
      <c r="EC10" s="826"/>
      <c r="ED10" s="826"/>
      <c r="EE10" s="826"/>
      <c r="EF10" s="826"/>
      <c r="EG10" s="826"/>
      <c r="EH10" s="826"/>
      <c r="EI10" s="826"/>
    </row>
    <row r="11" spans="2:139" s="416" customFormat="1" ht="57" hidden="1" x14ac:dyDescent="0.45">
      <c r="B11" s="1076" t="s">
        <v>796</v>
      </c>
      <c r="C11" s="421" t="s">
        <v>805</v>
      </c>
      <c r="D11" s="772" t="s">
        <v>801</v>
      </c>
      <c r="E11" s="418" t="s">
        <v>674</v>
      </c>
      <c r="F11" s="838" t="s">
        <v>675</v>
      </c>
      <c r="G11" s="826"/>
      <c r="H11" s="826"/>
      <c r="I11" s="826"/>
      <c r="J11" s="826"/>
      <c r="K11" s="826"/>
      <c r="L11" s="826"/>
      <c r="M11" s="826"/>
      <c r="N11" s="826"/>
      <c r="O11" s="826"/>
      <c r="P11" s="826"/>
      <c r="Q11" s="826"/>
      <c r="R11" s="826"/>
      <c r="S11" s="826"/>
      <c r="T11" s="826"/>
      <c r="U11" s="826"/>
      <c r="V11" s="826"/>
      <c r="W11" s="826"/>
      <c r="X11" s="826"/>
      <c r="Y11" s="826"/>
      <c r="Z11" s="826"/>
      <c r="AA11" s="826"/>
      <c r="AB11" s="826"/>
      <c r="AC11" s="826"/>
      <c r="AD11" s="826"/>
      <c r="AE11" s="826"/>
      <c r="AF11" s="826"/>
      <c r="AG11" s="826"/>
      <c r="AH11" s="826"/>
      <c r="AI11" s="826"/>
      <c r="AJ11" s="826"/>
      <c r="AK11" s="826"/>
      <c r="AL11" s="826"/>
      <c r="AM11" s="826"/>
      <c r="AN11" s="826"/>
      <c r="AO11" s="826"/>
      <c r="AP11" s="826"/>
      <c r="AQ11" s="826"/>
      <c r="AR11" s="826"/>
      <c r="AS11" s="826"/>
      <c r="AT11" s="826"/>
      <c r="AU11" s="826"/>
      <c r="AV11" s="826"/>
      <c r="AW11" s="826"/>
      <c r="AX11" s="826"/>
      <c r="AY11" s="826"/>
      <c r="AZ11" s="826"/>
      <c r="BA11" s="826"/>
      <c r="BB11" s="826"/>
      <c r="BC11" s="826"/>
      <c r="BD11" s="826"/>
      <c r="BE11" s="826"/>
      <c r="BF11" s="826"/>
      <c r="BG11" s="826"/>
      <c r="BH11" s="826"/>
      <c r="BI11" s="826"/>
      <c r="BJ11" s="826"/>
      <c r="BK11" s="826"/>
      <c r="BL11" s="826"/>
      <c r="BM11" s="826"/>
      <c r="BN11" s="826"/>
      <c r="BO11" s="826"/>
      <c r="BP11" s="826"/>
      <c r="BQ11" s="826"/>
      <c r="BR11" s="826"/>
      <c r="BS11" s="826"/>
      <c r="BT11" s="826"/>
      <c r="BU11" s="826"/>
      <c r="BV11" s="826"/>
      <c r="BW11" s="826"/>
      <c r="BX11" s="826"/>
      <c r="BY11" s="826"/>
      <c r="BZ11" s="826"/>
      <c r="CA11" s="826"/>
      <c r="CB11" s="826"/>
      <c r="CC11" s="826"/>
      <c r="CD11" s="826"/>
      <c r="CE11" s="826"/>
      <c r="CF11" s="826"/>
      <c r="CG11" s="826"/>
      <c r="CH11" s="826"/>
      <c r="CI11" s="826"/>
      <c r="CJ11" s="826"/>
      <c r="CK11" s="826"/>
      <c r="CL11" s="826"/>
      <c r="CM11" s="826"/>
      <c r="CN11" s="826"/>
      <c r="CO11" s="826"/>
      <c r="CP11" s="826"/>
      <c r="CQ11" s="826"/>
      <c r="CR11" s="826"/>
      <c r="CS11" s="826"/>
      <c r="CT11" s="826"/>
      <c r="CU11" s="826"/>
      <c r="CV11" s="826"/>
      <c r="CW11" s="826"/>
      <c r="CX11" s="826"/>
      <c r="CY11" s="826"/>
      <c r="CZ11" s="826"/>
      <c r="DA11" s="826"/>
      <c r="DB11" s="826"/>
      <c r="DC11" s="826"/>
      <c r="DD11" s="826"/>
      <c r="DE11" s="826"/>
      <c r="DF11" s="826"/>
      <c r="DG11" s="826"/>
      <c r="DH11" s="826"/>
      <c r="DI11" s="826"/>
      <c r="DJ11" s="826"/>
      <c r="DK11" s="826"/>
      <c r="DL11" s="826"/>
      <c r="DM11" s="826"/>
      <c r="DN11" s="826"/>
      <c r="DO11" s="826"/>
      <c r="DP11" s="826"/>
      <c r="DQ11" s="826"/>
      <c r="DR11" s="826"/>
      <c r="DS11" s="826"/>
      <c r="DT11" s="826"/>
      <c r="DU11" s="826"/>
      <c r="DV11" s="826"/>
      <c r="DW11" s="826"/>
      <c r="DX11" s="826"/>
      <c r="DY11" s="826"/>
      <c r="DZ11" s="826"/>
      <c r="EA11" s="826"/>
      <c r="EB11" s="826"/>
      <c r="EC11" s="826"/>
      <c r="ED11" s="826"/>
      <c r="EE11" s="826"/>
      <c r="EF11" s="826"/>
      <c r="EG11" s="826"/>
      <c r="EH11" s="826"/>
      <c r="EI11" s="826"/>
    </row>
    <row r="12" spans="2:139" s="416" customFormat="1" hidden="1" x14ac:dyDescent="0.45">
      <c r="B12" s="1077"/>
      <c r="C12" s="482" t="s">
        <v>611</v>
      </c>
      <c r="D12" s="770" t="s">
        <v>802</v>
      </c>
      <c r="E12" s="419" t="s">
        <v>677</v>
      </c>
      <c r="F12" s="839" t="s">
        <v>678</v>
      </c>
      <c r="G12" s="826"/>
      <c r="H12" s="826"/>
      <c r="I12" s="826"/>
      <c r="J12" s="826"/>
      <c r="K12" s="826"/>
      <c r="L12" s="826"/>
      <c r="M12" s="826"/>
      <c r="N12" s="826"/>
      <c r="O12" s="826"/>
      <c r="P12" s="826"/>
      <c r="Q12" s="826"/>
      <c r="R12" s="826"/>
      <c r="S12" s="826"/>
      <c r="T12" s="826"/>
      <c r="U12" s="826"/>
      <c r="V12" s="826"/>
      <c r="W12" s="826"/>
      <c r="X12" s="826"/>
      <c r="Y12" s="826"/>
      <c r="Z12" s="826"/>
      <c r="AA12" s="826"/>
      <c r="AB12" s="826"/>
      <c r="AC12" s="826"/>
      <c r="AD12" s="826"/>
      <c r="AE12" s="826"/>
      <c r="AF12" s="826"/>
      <c r="AG12" s="826"/>
      <c r="AH12" s="826"/>
      <c r="AI12" s="826"/>
      <c r="AJ12" s="826"/>
      <c r="AK12" s="826"/>
      <c r="AL12" s="826"/>
      <c r="AM12" s="826"/>
      <c r="AN12" s="826"/>
      <c r="AO12" s="826"/>
      <c r="AP12" s="826"/>
      <c r="AQ12" s="826"/>
      <c r="AR12" s="826"/>
      <c r="AS12" s="826"/>
      <c r="AT12" s="826"/>
      <c r="AU12" s="826"/>
      <c r="AV12" s="826"/>
      <c r="AW12" s="826"/>
      <c r="AX12" s="826"/>
      <c r="AY12" s="826"/>
      <c r="AZ12" s="826"/>
      <c r="BA12" s="826"/>
      <c r="BB12" s="826"/>
      <c r="BC12" s="826"/>
      <c r="BD12" s="826"/>
      <c r="BE12" s="826"/>
      <c r="BF12" s="826"/>
      <c r="BG12" s="826"/>
      <c r="BH12" s="826"/>
      <c r="BI12" s="826"/>
      <c r="BJ12" s="826"/>
      <c r="BK12" s="826"/>
      <c r="BL12" s="826"/>
      <c r="BM12" s="826"/>
      <c r="BN12" s="826"/>
      <c r="BO12" s="826"/>
      <c r="BP12" s="826"/>
      <c r="BQ12" s="826"/>
      <c r="BR12" s="826"/>
      <c r="BS12" s="826"/>
      <c r="BT12" s="826"/>
      <c r="BU12" s="826"/>
      <c r="BV12" s="826"/>
      <c r="BW12" s="826"/>
      <c r="BX12" s="826"/>
      <c r="BY12" s="826"/>
      <c r="BZ12" s="826"/>
      <c r="CA12" s="826"/>
      <c r="CB12" s="826"/>
      <c r="CC12" s="826"/>
      <c r="CD12" s="826"/>
      <c r="CE12" s="826"/>
      <c r="CF12" s="826"/>
      <c r="CG12" s="826"/>
      <c r="CH12" s="826"/>
      <c r="CI12" s="826"/>
      <c r="CJ12" s="826"/>
      <c r="CK12" s="826"/>
      <c r="CL12" s="826"/>
      <c r="CM12" s="826"/>
      <c r="CN12" s="826"/>
      <c r="CO12" s="826"/>
      <c r="CP12" s="826"/>
      <c r="CQ12" s="826"/>
      <c r="CR12" s="826"/>
      <c r="CS12" s="826"/>
      <c r="CT12" s="826"/>
      <c r="CU12" s="826"/>
      <c r="CV12" s="826"/>
      <c r="CW12" s="826"/>
      <c r="CX12" s="826"/>
      <c r="CY12" s="826"/>
      <c r="CZ12" s="826"/>
      <c r="DA12" s="826"/>
      <c r="DB12" s="826"/>
      <c r="DC12" s="826"/>
      <c r="DD12" s="826"/>
      <c r="DE12" s="826"/>
      <c r="DF12" s="826"/>
      <c r="DG12" s="826"/>
      <c r="DH12" s="826"/>
      <c r="DI12" s="826"/>
      <c r="DJ12" s="826"/>
      <c r="DK12" s="826"/>
      <c r="DL12" s="826"/>
      <c r="DM12" s="826"/>
      <c r="DN12" s="826"/>
      <c r="DO12" s="826"/>
      <c r="DP12" s="826"/>
      <c r="DQ12" s="826"/>
      <c r="DR12" s="826"/>
      <c r="DS12" s="826"/>
      <c r="DT12" s="826"/>
      <c r="DU12" s="826"/>
      <c r="DV12" s="826"/>
      <c r="DW12" s="826"/>
      <c r="DX12" s="826"/>
      <c r="DY12" s="826"/>
      <c r="DZ12" s="826"/>
      <c r="EA12" s="826"/>
      <c r="EB12" s="826"/>
      <c r="EC12" s="826"/>
      <c r="ED12" s="826"/>
      <c r="EE12" s="826"/>
      <c r="EF12" s="826"/>
      <c r="EG12" s="826"/>
      <c r="EH12" s="826"/>
      <c r="EI12" s="826"/>
    </row>
    <row r="13" spans="2:139" s="416" customFormat="1" ht="29.25" hidden="1" thickBot="1" x14ac:dyDescent="0.5">
      <c r="B13" s="1078"/>
      <c r="C13" s="422" t="s">
        <v>445</v>
      </c>
      <c r="D13" s="771" t="s">
        <v>803</v>
      </c>
      <c r="E13" s="420" t="s">
        <v>680</v>
      </c>
      <c r="F13" s="840" t="s">
        <v>678</v>
      </c>
      <c r="G13" s="826"/>
      <c r="H13" s="826"/>
      <c r="I13" s="826"/>
      <c r="J13" s="826"/>
      <c r="K13" s="826"/>
      <c r="L13" s="826"/>
      <c r="M13" s="826"/>
      <c r="N13" s="826"/>
      <c r="O13" s="826"/>
      <c r="P13" s="826"/>
      <c r="Q13" s="826"/>
      <c r="R13" s="826"/>
      <c r="S13" s="826"/>
      <c r="T13" s="826"/>
      <c r="U13" s="826"/>
      <c r="V13" s="826"/>
      <c r="W13" s="826"/>
      <c r="X13" s="826"/>
      <c r="Y13" s="826"/>
      <c r="Z13" s="826"/>
      <c r="AA13" s="826"/>
      <c r="AB13" s="826"/>
      <c r="AC13" s="826"/>
      <c r="AD13" s="826"/>
      <c r="AE13" s="826"/>
      <c r="AF13" s="826"/>
      <c r="AG13" s="826"/>
      <c r="AH13" s="826"/>
      <c r="AI13" s="826"/>
      <c r="AJ13" s="826"/>
      <c r="AK13" s="826"/>
      <c r="AL13" s="826"/>
      <c r="AM13" s="826"/>
      <c r="AN13" s="826"/>
      <c r="AO13" s="826"/>
      <c r="AP13" s="826"/>
      <c r="AQ13" s="826"/>
      <c r="AR13" s="826"/>
      <c r="AS13" s="826"/>
      <c r="AT13" s="826"/>
      <c r="AU13" s="826"/>
      <c r="AV13" s="826"/>
      <c r="AW13" s="826"/>
      <c r="AX13" s="826"/>
      <c r="AY13" s="826"/>
      <c r="AZ13" s="826"/>
      <c r="BA13" s="826"/>
      <c r="BB13" s="826"/>
      <c r="BC13" s="826"/>
      <c r="BD13" s="826"/>
      <c r="BE13" s="826"/>
      <c r="BF13" s="826"/>
      <c r="BG13" s="826"/>
      <c r="BH13" s="826"/>
      <c r="BI13" s="826"/>
      <c r="BJ13" s="826"/>
      <c r="BK13" s="826"/>
      <c r="BL13" s="826"/>
      <c r="BM13" s="826"/>
      <c r="BN13" s="826"/>
      <c r="BO13" s="826"/>
      <c r="BP13" s="826"/>
      <c r="BQ13" s="826"/>
      <c r="BR13" s="826"/>
      <c r="BS13" s="826"/>
      <c r="BT13" s="826"/>
      <c r="BU13" s="826"/>
      <c r="BV13" s="826"/>
      <c r="BW13" s="826"/>
      <c r="BX13" s="826"/>
      <c r="BY13" s="826"/>
      <c r="BZ13" s="826"/>
      <c r="CA13" s="826"/>
      <c r="CB13" s="826"/>
      <c r="CC13" s="826"/>
      <c r="CD13" s="826"/>
      <c r="CE13" s="826"/>
      <c r="CF13" s="826"/>
      <c r="CG13" s="826"/>
      <c r="CH13" s="826"/>
      <c r="CI13" s="826"/>
      <c r="CJ13" s="826"/>
      <c r="CK13" s="826"/>
      <c r="CL13" s="826"/>
      <c r="CM13" s="826"/>
      <c r="CN13" s="826"/>
      <c r="CO13" s="826"/>
      <c r="CP13" s="826"/>
      <c r="CQ13" s="826"/>
      <c r="CR13" s="826"/>
      <c r="CS13" s="826"/>
      <c r="CT13" s="826"/>
      <c r="CU13" s="826"/>
      <c r="CV13" s="826"/>
      <c r="CW13" s="826"/>
      <c r="CX13" s="826"/>
      <c r="CY13" s="826"/>
      <c r="CZ13" s="826"/>
      <c r="DA13" s="826"/>
      <c r="DB13" s="826"/>
      <c r="DC13" s="826"/>
      <c r="DD13" s="826"/>
      <c r="DE13" s="826"/>
      <c r="DF13" s="826"/>
      <c r="DG13" s="826"/>
      <c r="DH13" s="826"/>
      <c r="DI13" s="826"/>
      <c r="DJ13" s="826"/>
      <c r="DK13" s="826"/>
      <c r="DL13" s="826"/>
      <c r="DM13" s="826"/>
      <c r="DN13" s="826"/>
      <c r="DO13" s="826"/>
      <c r="DP13" s="826"/>
      <c r="DQ13" s="826"/>
      <c r="DR13" s="826"/>
      <c r="DS13" s="826"/>
      <c r="DT13" s="826"/>
      <c r="DU13" s="826"/>
      <c r="DV13" s="826"/>
      <c r="DW13" s="826"/>
      <c r="DX13" s="826"/>
      <c r="DY13" s="826"/>
      <c r="DZ13" s="826"/>
      <c r="EA13" s="826"/>
      <c r="EB13" s="826"/>
      <c r="EC13" s="826"/>
      <c r="ED13" s="826"/>
      <c r="EE13" s="826"/>
      <c r="EF13" s="826"/>
      <c r="EG13" s="826"/>
      <c r="EH13" s="826"/>
      <c r="EI13" s="826"/>
    </row>
    <row r="14" spans="2:139" ht="29.25" thickBot="1" x14ac:dyDescent="0.5">
      <c r="B14" s="1069" t="s">
        <v>12</v>
      </c>
      <c r="C14" s="1070"/>
      <c r="D14" s="1070"/>
      <c r="E14" s="1070"/>
      <c r="F14" s="1071"/>
    </row>
    <row r="15" spans="2:139" ht="85.5" x14ac:dyDescent="0.45">
      <c r="B15" s="1072" t="s">
        <v>109</v>
      </c>
      <c r="C15" s="503" t="s">
        <v>959</v>
      </c>
      <c r="D15" s="773" t="s">
        <v>129</v>
      </c>
      <c r="E15" s="504" t="s">
        <v>80</v>
      </c>
      <c r="F15" s="841" t="s">
        <v>594</v>
      </c>
    </row>
    <row r="16" spans="2:139" ht="57" x14ac:dyDescent="0.45">
      <c r="B16" s="1073"/>
      <c r="C16" s="76" t="s">
        <v>960</v>
      </c>
      <c r="D16" s="770" t="s">
        <v>131</v>
      </c>
      <c r="E16" s="425" t="s">
        <v>81</v>
      </c>
      <c r="F16" s="842" t="s">
        <v>595</v>
      </c>
    </row>
    <row r="17" spans="2:6" ht="57" x14ac:dyDescent="0.45">
      <c r="B17" s="1073"/>
      <c r="C17" s="424" t="s">
        <v>132</v>
      </c>
      <c r="D17" s="770" t="s">
        <v>322</v>
      </c>
      <c r="E17" s="425" t="s">
        <v>587</v>
      </c>
      <c r="F17" s="842" t="s">
        <v>596</v>
      </c>
    </row>
    <row r="18" spans="2:6" x14ac:dyDescent="0.45">
      <c r="B18" s="1073"/>
      <c r="C18" s="424" t="s">
        <v>1002</v>
      </c>
      <c r="D18" s="770" t="s">
        <v>1001</v>
      </c>
      <c r="E18" s="425"/>
      <c r="F18" s="842"/>
    </row>
    <row r="19" spans="2:6" x14ac:dyDescent="0.45">
      <c r="B19" s="1073"/>
      <c r="C19" s="412" t="s">
        <v>133</v>
      </c>
      <c r="D19" s="770" t="s">
        <v>134</v>
      </c>
      <c r="E19" s="425" t="s">
        <v>42</v>
      </c>
      <c r="F19" s="842" t="s">
        <v>597</v>
      </c>
    </row>
    <row r="20" spans="2:6" x14ac:dyDescent="0.45">
      <c r="B20" s="1073"/>
      <c r="C20" s="412" t="s">
        <v>146</v>
      </c>
      <c r="D20" s="770" t="s">
        <v>135</v>
      </c>
      <c r="E20" s="425" t="s">
        <v>136</v>
      </c>
      <c r="F20" s="842" t="s">
        <v>598</v>
      </c>
    </row>
    <row r="21" spans="2:6" ht="57" x14ac:dyDescent="0.45">
      <c r="B21" s="1073"/>
      <c r="C21" s="426" t="s">
        <v>138</v>
      </c>
      <c r="D21" s="774" t="s">
        <v>137</v>
      </c>
      <c r="E21" s="425" t="s">
        <v>38</v>
      </c>
      <c r="F21" s="842" t="s">
        <v>304</v>
      </c>
    </row>
    <row r="22" spans="2:6" ht="57" x14ac:dyDescent="0.45">
      <c r="B22" s="1073"/>
      <c r="C22" s="412" t="s">
        <v>139</v>
      </c>
      <c r="D22" s="770" t="s">
        <v>140</v>
      </c>
      <c r="E22" s="425" t="s">
        <v>39</v>
      </c>
      <c r="F22" s="842" t="s">
        <v>599</v>
      </c>
    </row>
    <row r="23" spans="2:6" x14ac:dyDescent="0.45">
      <c r="B23" s="1073"/>
      <c r="C23" s="412" t="s">
        <v>602</v>
      </c>
      <c r="D23" s="770" t="s">
        <v>141</v>
      </c>
      <c r="E23" s="425" t="s">
        <v>40</v>
      </c>
      <c r="F23" s="842" t="s">
        <v>600</v>
      </c>
    </row>
    <row r="24" spans="2:6" x14ac:dyDescent="0.45">
      <c r="B24" s="1074"/>
      <c r="C24" s="610" t="s">
        <v>1173</v>
      </c>
      <c r="D24" s="611" t="s">
        <v>1174</v>
      </c>
      <c r="E24" s="460"/>
      <c r="F24" s="843"/>
    </row>
    <row r="25" spans="2:6" ht="29.25" thickBot="1" x14ac:dyDescent="0.5">
      <c r="B25" s="1075"/>
      <c r="C25" s="414" t="s">
        <v>142</v>
      </c>
      <c r="D25" s="771" t="s">
        <v>143</v>
      </c>
      <c r="E25" s="427" t="s">
        <v>41</v>
      </c>
      <c r="F25" s="844" t="s">
        <v>144</v>
      </c>
    </row>
    <row r="26" spans="2:6" ht="57" x14ac:dyDescent="0.45">
      <c r="B26" s="1017" t="s">
        <v>13</v>
      </c>
      <c r="C26" s="421" t="s">
        <v>146</v>
      </c>
      <c r="D26" s="772" t="s">
        <v>145</v>
      </c>
      <c r="E26" s="423" t="s">
        <v>82</v>
      </c>
      <c r="F26" s="845" t="s">
        <v>601</v>
      </c>
    </row>
    <row r="27" spans="2:6" ht="57.75" thickBot="1" x14ac:dyDescent="0.5">
      <c r="B27" s="1018"/>
      <c r="C27" s="428" t="s">
        <v>138</v>
      </c>
      <c r="D27" s="771" t="s">
        <v>147</v>
      </c>
      <c r="E27" s="427" t="s">
        <v>90</v>
      </c>
      <c r="F27" s="844" t="s">
        <v>601</v>
      </c>
    </row>
    <row r="28" spans="2:6" x14ac:dyDescent="0.45">
      <c r="B28" s="1017" t="s">
        <v>14</v>
      </c>
      <c r="C28" s="421" t="s">
        <v>1006</v>
      </c>
      <c r="D28" s="772" t="s">
        <v>148</v>
      </c>
      <c r="E28" s="423" t="s">
        <v>83</v>
      </c>
      <c r="F28" s="845" t="s">
        <v>601</v>
      </c>
    </row>
    <row r="29" spans="2:6" ht="57.75" thickBot="1" x14ac:dyDescent="0.5">
      <c r="B29" s="1018"/>
      <c r="C29" s="428" t="s">
        <v>436</v>
      </c>
      <c r="D29" s="771" t="s">
        <v>149</v>
      </c>
      <c r="E29" s="427" t="s">
        <v>91</v>
      </c>
      <c r="F29" s="844" t="s">
        <v>601</v>
      </c>
    </row>
    <row r="30" spans="2:6" ht="57" x14ac:dyDescent="0.45">
      <c r="B30" s="1017" t="s">
        <v>15</v>
      </c>
      <c r="C30" s="421" t="s">
        <v>1006</v>
      </c>
      <c r="D30" s="772" t="s">
        <v>150</v>
      </c>
      <c r="E30" s="423" t="s">
        <v>84</v>
      </c>
      <c r="F30" s="845" t="s">
        <v>601</v>
      </c>
    </row>
    <row r="31" spans="2:6" ht="57.75" thickBot="1" x14ac:dyDescent="0.5">
      <c r="B31" s="1018"/>
      <c r="C31" s="428" t="s">
        <v>436</v>
      </c>
      <c r="D31" s="771" t="s">
        <v>151</v>
      </c>
      <c r="E31" s="427" t="s">
        <v>92</v>
      </c>
      <c r="F31" s="844" t="s">
        <v>601</v>
      </c>
    </row>
    <row r="32" spans="2:6" x14ac:dyDescent="0.45">
      <c r="B32" s="1017" t="s">
        <v>416</v>
      </c>
      <c r="C32" s="421" t="s">
        <v>1007</v>
      </c>
      <c r="D32" s="772" t="s">
        <v>152</v>
      </c>
      <c r="E32" s="423" t="s">
        <v>85</v>
      </c>
      <c r="F32" s="845" t="s">
        <v>601</v>
      </c>
    </row>
    <row r="33" spans="2:139" ht="29.25" thickBot="1" x14ac:dyDescent="0.5">
      <c r="B33" s="1018"/>
      <c r="C33" s="428" t="s">
        <v>436</v>
      </c>
      <c r="D33" s="771" t="s">
        <v>153</v>
      </c>
      <c r="E33" s="427" t="s">
        <v>93</v>
      </c>
      <c r="F33" s="844" t="s">
        <v>601</v>
      </c>
    </row>
    <row r="34" spans="2:139" x14ac:dyDescent="0.45">
      <c r="B34" s="1017" t="s">
        <v>16</v>
      </c>
      <c r="C34" s="421" t="s">
        <v>1007</v>
      </c>
      <c r="D34" s="772" t="s">
        <v>154</v>
      </c>
      <c r="E34" s="423" t="s">
        <v>86</v>
      </c>
      <c r="F34" s="845" t="s">
        <v>601</v>
      </c>
    </row>
    <row r="35" spans="2:139" ht="57.75" thickBot="1" x14ac:dyDescent="0.5">
      <c r="B35" s="1018"/>
      <c r="C35" s="428" t="s">
        <v>436</v>
      </c>
      <c r="D35" s="771" t="s">
        <v>155</v>
      </c>
      <c r="E35" s="427" t="s">
        <v>94</v>
      </c>
      <c r="F35" s="844" t="s">
        <v>601</v>
      </c>
    </row>
    <row r="36" spans="2:139" x14ac:dyDescent="0.45">
      <c r="B36" s="1017" t="s">
        <v>17</v>
      </c>
      <c r="C36" s="421" t="s">
        <v>1007</v>
      </c>
      <c r="D36" s="772" t="s">
        <v>323</v>
      </c>
      <c r="E36" s="423" t="s">
        <v>87</v>
      </c>
      <c r="F36" s="845" t="s">
        <v>601</v>
      </c>
    </row>
    <row r="37" spans="2:139" s="429" customFormat="1" ht="29.25" thickBot="1" x14ac:dyDescent="0.3">
      <c r="B37" s="1018"/>
      <c r="C37" s="428" t="s">
        <v>436</v>
      </c>
      <c r="D37" s="771" t="s">
        <v>156</v>
      </c>
      <c r="E37" s="430" t="s">
        <v>95</v>
      </c>
      <c r="F37" s="846" t="s">
        <v>601</v>
      </c>
      <c r="G37" s="827"/>
      <c r="H37" s="827"/>
      <c r="I37" s="827"/>
      <c r="J37" s="827"/>
      <c r="K37" s="827"/>
      <c r="L37" s="827"/>
      <c r="M37" s="827"/>
      <c r="N37" s="827"/>
      <c r="O37" s="827"/>
      <c r="P37" s="827"/>
      <c r="Q37" s="827"/>
      <c r="R37" s="827"/>
      <c r="S37" s="827"/>
      <c r="T37" s="827"/>
      <c r="U37" s="827"/>
      <c r="V37" s="827"/>
      <c r="W37" s="827"/>
      <c r="X37" s="827"/>
      <c r="Y37" s="827"/>
      <c r="Z37" s="827"/>
      <c r="AA37" s="827"/>
      <c r="AB37" s="827"/>
      <c r="AC37" s="827"/>
      <c r="AD37" s="827"/>
      <c r="AE37" s="827"/>
      <c r="AF37" s="827"/>
      <c r="AG37" s="827"/>
      <c r="AH37" s="827"/>
      <c r="AI37" s="827"/>
      <c r="AJ37" s="827"/>
      <c r="AK37" s="827"/>
      <c r="AL37" s="827"/>
      <c r="AM37" s="827"/>
      <c r="AN37" s="827"/>
      <c r="AO37" s="827"/>
      <c r="AP37" s="827"/>
      <c r="AQ37" s="827"/>
      <c r="AR37" s="827"/>
      <c r="AS37" s="827"/>
      <c r="AT37" s="827"/>
      <c r="AU37" s="827"/>
      <c r="AV37" s="827"/>
      <c r="AW37" s="827"/>
      <c r="AX37" s="827"/>
      <c r="AY37" s="827"/>
      <c r="AZ37" s="827"/>
      <c r="BA37" s="827"/>
      <c r="BB37" s="827"/>
      <c r="BC37" s="827"/>
      <c r="BD37" s="827"/>
      <c r="BE37" s="827"/>
      <c r="BF37" s="827"/>
      <c r="BG37" s="827"/>
      <c r="BH37" s="827"/>
      <c r="BI37" s="827"/>
      <c r="BJ37" s="827"/>
      <c r="BK37" s="827"/>
      <c r="BL37" s="827"/>
      <c r="BM37" s="827"/>
      <c r="BN37" s="827"/>
      <c r="BO37" s="827"/>
      <c r="BP37" s="827"/>
      <c r="BQ37" s="827"/>
      <c r="BR37" s="827"/>
      <c r="BS37" s="827"/>
      <c r="BT37" s="827"/>
      <c r="BU37" s="827"/>
      <c r="BV37" s="827"/>
      <c r="BW37" s="827"/>
      <c r="BX37" s="827"/>
      <c r="BY37" s="827"/>
      <c r="BZ37" s="827"/>
      <c r="CA37" s="827"/>
      <c r="CB37" s="827"/>
      <c r="CC37" s="827"/>
      <c r="CD37" s="827"/>
      <c r="CE37" s="827"/>
      <c r="CF37" s="827"/>
      <c r="CG37" s="827"/>
      <c r="CH37" s="827"/>
      <c r="CI37" s="827"/>
      <c r="CJ37" s="827"/>
      <c r="CK37" s="827"/>
      <c r="CL37" s="827"/>
      <c r="CM37" s="827"/>
      <c r="CN37" s="827"/>
      <c r="CO37" s="827"/>
      <c r="CP37" s="827"/>
      <c r="CQ37" s="827"/>
      <c r="CR37" s="827"/>
      <c r="CS37" s="827"/>
      <c r="CT37" s="827"/>
      <c r="CU37" s="827"/>
      <c r="CV37" s="827"/>
      <c r="CW37" s="827"/>
      <c r="CX37" s="827"/>
      <c r="CY37" s="827"/>
      <c r="CZ37" s="827"/>
      <c r="DA37" s="827"/>
      <c r="DB37" s="827"/>
      <c r="DC37" s="827"/>
      <c r="DD37" s="827"/>
      <c r="DE37" s="827"/>
      <c r="DF37" s="827"/>
      <c r="DG37" s="827"/>
      <c r="DH37" s="827"/>
      <c r="DI37" s="827"/>
      <c r="DJ37" s="827"/>
      <c r="DK37" s="827"/>
      <c r="DL37" s="827"/>
      <c r="DM37" s="827"/>
      <c r="DN37" s="827"/>
      <c r="DO37" s="827"/>
      <c r="DP37" s="827"/>
      <c r="DQ37" s="827"/>
      <c r="DR37" s="827"/>
      <c r="DS37" s="827"/>
      <c r="DT37" s="827"/>
      <c r="DU37" s="827"/>
      <c r="DV37" s="827"/>
      <c r="DW37" s="827"/>
      <c r="DX37" s="827"/>
      <c r="DY37" s="827"/>
      <c r="DZ37" s="827"/>
      <c r="EA37" s="827"/>
      <c r="EB37" s="827"/>
      <c r="EC37" s="827"/>
      <c r="ED37" s="827"/>
      <c r="EE37" s="827"/>
      <c r="EF37" s="827"/>
      <c r="EG37" s="827"/>
      <c r="EH37" s="827"/>
      <c r="EI37" s="827"/>
    </row>
    <row r="38" spans="2:139" ht="57" x14ac:dyDescent="0.45">
      <c r="B38" s="1017" t="s">
        <v>22</v>
      </c>
      <c r="C38" s="421" t="s">
        <v>1007</v>
      </c>
      <c r="D38" s="772" t="s">
        <v>157</v>
      </c>
      <c r="E38" s="423" t="s">
        <v>88</v>
      </c>
      <c r="F38" s="845" t="s">
        <v>601</v>
      </c>
    </row>
    <row r="39" spans="2:139" ht="57.75" thickBot="1" x14ac:dyDescent="0.5">
      <c r="B39" s="1018"/>
      <c r="C39" s="428" t="s">
        <v>436</v>
      </c>
      <c r="D39" s="771" t="s">
        <v>158</v>
      </c>
      <c r="E39" s="427" t="s">
        <v>96</v>
      </c>
      <c r="F39" s="844" t="s">
        <v>601</v>
      </c>
    </row>
    <row r="40" spans="2:139" ht="57" x14ac:dyDescent="0.45">
      <c r="B40" s="1017" t="s">
        <v>18</v>
      </c>
      <c r="C40" s="421" t="s">
        <v>1007</v>
      </c>
      <c r="D40" s="772" t="s">
        <v>159</v>
      </c>
      <c r="E40" s="423" t="s">
        <v>89</v>
      </c>
      <c r="F40" s="845" t="s">
        <v>601</v>
      </c>
    </row>
    <row r="41" spans="2:139" ht="57.75" thickBot="1" x14ac:dyDescent="0.5">
      <c r="B41" s="1018"/>
      <c r="C41" s="428" t="s">
        <v>436</v>
      </c>
      <c r="D41" s="771" t="s">
        <v>160</v>
      </c>
      <c r="E41" s="427" t="s">
        <v>97</v>
      </c>
      <c r="F41" s="844" t="s">
        <v>601</v>
      </c>
    </row>
    <row r="42" spans="2:139" ht="57" x14ac:dyDescent="0.45">
      <c r="B42" s="1017" t="s">
        <v>101</v>
      </c>
      <c r="C42" s="421" t="s">
        <v>1007</v>
      </c>
      <c r="D42" s="772" t="s">
        <v>324</v>
      </c>
      <c r="E42" s="423" t="s">
        <v>121</v>
      </c>
      <c r="F42" s="845" t="s">
        <v>601</v>
      </c>
    </row>
    <row r="43" spans="2:139" ht="57.75" thickBot="1" x14ac:dyDescent="0.5">
      <c r="B43" s="1018"/>
      <c r="C43" s="428" t="s">
        <v>436</v>
      </c>
      <c r="D43" s="771" t="s">
        <v>161</v>
      </c>
      <c r="E43" s="460" t="s">
        <v>588</v>
      </c>
      <c r="F43" s="843" t="s">
        <v>601</v>
      </c>
    </row>
    <row r="44" spans="2:139" ht="29.25" thickBot="1" x14ac:dyDescent="0.5">
      <c r="B44" s="1042" t="s">
        <v>998</v>
      </c>
      <c r="C44" s="961" t="s">
        <v>132</v>
      </c>
      <c r="D44" s="614" t="s">
        <v>1175</v>
      </c>
      <c r="E44" s="460"/>
      <c r="F44" s="843"/>
    </row>
    <row r="45" spans="2:139" x14ac:dyDescent="0.45">
      <c r="B45" s="1043"/>
      <c r="C45" s="91" t="s">
        <v>146</v>
      </c>
      <c r="D45" s="775" t="s">
        <v>999</v>
      </c>
      <c r="E45" s="425"/>
      <c r="F45" s="842"/>
    </row>
    <row r="46" spans="2:139" ht="29.25" thickBot="1" x14ac:dyDescent="0.5">
      <c r="B46" s="1044"/>
      <c r="C46" s="95" t="s">
        <v>138</v>
      </c>
      <c r="D46" s="775" t="s">
        <v>1000</v>
      </c>
      <c r="E46" s="425"/>
      <c r="F46" s="842"/>
    </row>
    <row r="47" spans="2:139" ht="57" x14ac:dyDescent="0.45">
      <c r="B47" s="1029" t="s">
        <v>1181</v>
      </c>
      <c r="C47" s="783" t="s">
        <v>604</v>
      </c>
      <c r="D47" s="648" t="s">
        <v>325</v>
      </c>
      <c r="E47" s="411" t="s">
        <v>892</v>
      </c>
      <c r="F47" s="835"/>
    </row>
    <row r="48" spans="2:139" ht="57.75" thickBot="1" x14ac:dyDescent="0.5">
      <c r="B48" s="1030"/>
      <c r="C48" s="784" t="s">
        <v>613</v>
      </c>
      <c r="D48" s="650" t="s">
        <v>326</v>
      </c>
      <c r="E48" s="413" t="s">
        <v>893</v>
      </c>
      <c r="F48" s="836"/>
    </row>
    <row r="49" spans="2:6" ht="57" x14ac:dyDescent="0.45">
      <c r="B49" s="1031" t="s">
        <v>1182</v>
      </c>
      <c r="C49" s="957" t="s">
        <v>1183</v>
      </c>
      <c r="D49" s="958" t="s">
        <v>1185</v>
      </c>
      <c r="E49" s="411" t="s">
        <v>1213</v>
      </c>
      <c r="F49" s="835"/>
    </row>
    <row r="50" spans="2:6" ht="57" x14ac:dyDescent="0.45">
      <c r="B50" s="1032"/>
      <c r="C50" s="959" t="s">
        <v>1184</v>
      </c>
      <c r="D50" s="960" t="s">
        <v>1186</v>
      </c>
      <c r="E50" s="498" t="s">
        <v>1214</v>
      </c>
      <c r="F50" s="847"/>
    </row>
    <row r="51" spans="2:6" x14ac:dyDescent="0.45">
      <c r="B51" s="1036" t="s">
        <v>1197</v>
      </c>
      <c r="C51" s="1037"/>
      <c r="D51" s="1037"/>
      <c r="E51" s="1037"/>
      <c r="F51" s="1038"/>
    </row>
    <row r="52" spans="2:6" x14ac:dyDescent="0.45">
      <c r="B52" s="1039" t="s">
        <v>367</v>
      </c>
      <c r="C52" s="967" t="s">
        <v>146</v>
      </c>
      <c r="D52" s="577" t="s">
        <v>1193</v>
      </c>
      <c r="E52" s="763"/>
      <c r="F52" s="835"/>
    </row>
    <row r="53" spans="2:6" ht="29.25" thickBot="1" x14ac:dyDescent="0.5">
      <c r="B53" s="1040"/>
      <c r="C53" s="966" t="s">
        <v>138</v>
      </c>
      <c r="D53" s="576" t="s">
        <v>1194</v>
      </c>
      <c r="E53" s="762"/>
      <c r="F53" s="836"/>
    </row>
    <row r="54" spans="2:6" x14ac:dyDescent="0.45">
      <c r="B54" s="1041" t="s">
        <v>365</v>
      </c>
      <c r="C54" s="965" t="s">
        <v>146</v>
      </c>
      <c r="D54" s="575" t="s">
        <v>1195</v>
      </c>
      <c r="E54" s="762"/>
      <c r="F54" s="836"/>
    </row>
    <row r="55" spans="2:6" ht="29.25" thickBot="1" x14ac:dyDescent="0.5">
      <c r="B55" s="1040"/>
      <c r="C55" s="966" t="s">
        <v>138</v>
      </c>
      <c r="D55" s="576" t="s">
        <v>1196</v>
      </c>
      <c r="E55" s="762"/>
      <c r="F55" s="836"/>
    </row>
    <row r="56" spans="2:6" ht="29.25" hidden="1" thickBot="1" x14ac:dyDescent="0.5">
      <c r="B56" s="1079" t="s">
        <v>965</v>
      </c>
      <c r="C56" s="1080"/>
      <c r="D56" s="1080"/>
      <c r="E56" s="1026"/>
      <c r="F56" s="1027"/>
    </row>
    <row r="57" spans="2:6" hidden="1" x14ac:dyDescent="0.45">
      <c r="B57" s="1033" t="s">
        <v>978</v>
      </c>
      <c r="C57" s="1" t="s">
        <v>1132</v>
      </c>
      <c r="D57" s="562" t="s">
        <v>966</v>
      </c>
      <c r="E57" s="461"/>
      <c r="F57" s="848"/>
    </row>
    <row r="58" spans="2:6" ht="29.25" hidden="1" thickBot="1" x14ac:dyDescent="0.5">
      <c r="B58" s="1034"/>
      <c r="C58" s="356" t="s">
        <v>1133</v>
      </c>
      <c r="D58" s="563" t="s">
        <v>967</v>
      </c>
      <c r="E58" s="461"/>
      <c r="F58" s="848"/>
    </row>
    <row r="59" spans="2:6" hidden="1" x14ac:dyDescent="0.45">
      <c r="B59" s="1034"/>
      <c r="C59" s="1" t="s">
        <v>1134</v>
      </c>
      <c r="D59" s="562" t="s">
        <v>1136</v>
      </c>
      <c r="E59" s="461"/>
      <c r="F59" s="848"/>
    </row>
    <row r="60" spans="2:6" ht="29.25" hidden="1" thickBot="1" x14ac:dyDescent="0.5">
      <c r="B60" s="1035"/>
      <c r="C60" s="356" t="s">
        <v>1135</v>
      </c>
      <c r="D60" s="564" t="s">
        <v>1137</v>
      </c>
      <c r="E60" s="461"/>
      <c r="F60" s="848"/>
    </row>
    <row r="61" spans="2:6" hidden="1" x14ac:dyDescent="0.45">
      <c r="B61" s="1019" t="s">
        <v>979</v>
      </c>
      <c r="C61" s="1" t="s">
        <v>1132</v>
      </c>
      <c r="D61" s="562" t="s">
        <v>968</v>
      </c>
      <c r="E61" s="461"/>
      <c r="F61" s="848"/>
    </row>
    <row r="62" spans="2:6" ht="29.25" hidden="1" thickBot="1" x14ac:dyDescent="0.5">
      <c r="B62" s="1020"/>
      <c r="C62" s="356" t="s">
        <v>1133</v>
      </c>
      <c r="D62" s="563" t="s">
        <v>969</v>
      </c>
      <c r="E62" s="461"/>
      <c r="F62" s="848"/>
    </row>
    <row r="63" spans="2:6" hidden="1" x14ac:dyDescent="0.45">
      <c r="B63" s="1020"/>
      <c r="C63" s="1" t="s">
        <v>1134</v>
      </c>
      <c r="D63" s="563" t="s">
        <v>1138</v>
      </c>
      <c r="E63" s="461"/>
      <c r="F63" s="848"/>
    </row>
    <row r="64" spans="2:6" ht="29.25" hidden="1" thickBot="1" x14ac:dyDescent="0.5">
      <c r="B64" s="1021"/>
      <c r="C64" s="356" t="s">
        <v>1135</v>
      </c>
      <c r="D64" s="565" t="s">
        <v>1139</v>
      </c>
      <c r="E64" s="461"/>
      <c r="F64" s="848"/>
    </row>
    <row r="65" spans="2:6" hidden="1" x14ac:dyDescent="0.45">
      <c r="B65" s="1033" t="s">
        <v>980</v>
      </c>
      <c r="C65" s="1" t="s">
        <v>1132</v>
      </c>
      <c r="D65" s="562" t="s">
        <v>970</v>
      </c>
      <c r="E65" s="461"/>
      <c r="F65" s="848"/>
    </row>
    <row r="66" spans="2:6" ht="29.25" hidden="1" thickBot="1" x14ac:dyDescent="0.5">
      <c r="B66" s="1034"/>
      <c r="C66" s="356" t="s">
        <v>1133</v>
      </c>
      <c r="D66" s="563" t="s">
        <v>971</v>
      </c>
      <c r="E66" s="461"/>
      <c r="F66" s="848"/>
    </row>
    <row r="67" spans="2:6" hidden="1" x14ac:dyDescent="0.45">
      <c r="B67" s="1034"/>
      <c r="C67" s="1" t="s">
        <v>1134</v>
      </c>
      <c r="D67" s="563" t="s">
        <v>970</v>
      </c>
      <c r="E67" s="461"/>
      <c r="F67" s="848"/>
    </row>
    <row r="68" spans="2:6" ht="29.25" hidden="1" thickBot="1" x14ac:dyDescent="0.5">
      <c r="B68" s="1035"/>
      <c r="C68" s="356" t="s">
        <v>1135</v>
      </c>
      <c r="D68" s="565" t="s">
        <v>971</v>
      </c>
      <c r="E68" s="461"/>
      <c r="F68" s="848"/>
    </row>
    <row r="69" spans="2:6" hidden="1" x14ac:dyDescent="0.45">
      <c r="B69" s="1019" t="s">
        <v>981</v>
      </c>
      <c r="C69" s="1" t="s">
        <v>1132</v>
      </c>
      <c r="D69" s="562" t="s">
        <v>972</v>
      </c>
      <c r="E69" s="461"/>
      <c r="F69" s="848"/>
    </row>
    <row r="70" spans="2:6" ht="29.25" hidden="1" thickBot="1" x14ac:dyDescent="0.5">
      <c r="B70" s="1020"/>
      <c r="C70" s="356" t="s">
        <v>1133</v>
      </c>
      <c r="D70" s="563" t="s">
        <v>973</v>
      </c>
      <c r="E70" s="461"/>
      <c r="F70" s="848"/>
    </row>
    <row r="71" spans="2:6" hidden="1" x14ac:dyDescent="0.45">
      <c r="B71" s="1020"/>
      <c r="C71" s="1" t="s">
        <v>1134</v>
      </c>
      <c r="D71" s="563" t="s">
        <v>1140</v>
      </c>
      <c r="E71" s="461"/>
      <c r="F71" s="848"/>
    </row>
    <row r="72" spans="2:6" ht="29.25" hidden="1" thickBot="1" x14ac:dyDescent="0.5">
      <c r="B72" s="1021"/>
      <c r="C72" s="356" t="s">
        <v>1135</v>
      </c>
      <c r="D72" s="565" t="s">
        <v>1141</v>
      </c>
      <c r="E72" s="461"/>
      <c r="F72" s="848"/>
    </row>
    <row r="73" spans="2:6" hidden="1" x14ac:dyDescent="0.45">
      <c r="B73" s="1019" t="s">
        <v>989</v>
      </c>
      <c r="C73" s="1" t="s">
        <v>1132</v>
      </c>
      <c r="D73" s="566" t="s">
        <v>974</v>
      </c>
      <c r="E73" s="461"/>
      <c r="F73" s="848"/>
    </row>
    <row r="74" spans="2:6" ht="29.25" hidden="1" thickBot="1" x14ac:dyDescent="0.5">
      <c r="B74" s="1020"/>
      <c r="C74" s="356" t="s">
        <v>1133</v>
      </c>
      <c r="D74" s="563" t="s">
        <v>975</v>
      </c>
      <c r="E74" s="461"/>
      <c r="F74" s="848"/>
    </row>
    <row r="75" spans="2:6" hidden="1" x14ac:dyDescent="0.45">
      <c r="B75" s="1020"/>
      <c r="C75" s="1" t="s">
        <v>1134</v>
      </c>
      <c r="D75" s="563" t="s">
        <v>1142</v>
      </c>
      <c r="E75" s="461"/>
      <c r="F75" s="848"/>
    </row>
    <row r="76" spans="2:6" ht="29.25" hidden="1" thickBot="1" x14ac:dyDescent="0.5">
      <c r="B76" s="1021"/>
      <c r="C76" s="356" t="s">
        <v>1135</v>
      </c>
      <c r="D76" s="563" t="s">
        <v>1143</v>
      </c>
      <c r="E76" s="461"/>
      <c r="F76" s="848"/>
    </row>
    <row r="77" spans="2:6" ht="28.5" hidden="1" customHeight="1" x14ac:dyDescent="0.45">
      <c r="B77" s="1019" t="s">
        <v>982</v>
      </c>
      <c r="C77" s="1" t="s">
        <v>1132</v>
      </c>
      <c r="D77" s="563" t="s">
        <v>976</v>
      </c>
      <c r="E77" s="461"/>
      <c r="F77" s="848"/>
    </row>
    <row r="78" spans="2:6" ht="29.25" hidden="1" thickBot="1" x14ac:dyDescent="0.5">
      <c r="B78" s="1020"/>
      <c r="C78" s="356" t="s">
        <v>1133</v>
      </c>
      <c r="D78" s="563" t="s">
        <v>977</v>
      </c>
      <c r="E78" s="461"/>
      <c r="F78" s="848"/>
    </row>
    <row r="79" spans="2:6" hidden="1" x14ac:dyDescent="0.45">
      <c r="B79" s="1020"/>
      <c r="C79" s="1" t="s">
        <v>1134</v>
      </c>
      <c r="D79" s="563" t="s">
        <v>1144</v>
      </c>
      <c r="E79" s="461"/>
      <c r="F79" s="848"/>
    </row>
    <row r="80" spans="2:6" ht="29.25" hidden="1" thickBot="1" x14ac:dyDescent="0.5">
      <c r="B80" s="1021"/>
      <c r="C80" s="356" t="s">
        <v>1135</v>
      </c>
      <c r="D80" s="563" t="s">
        <v>1145</v>
      </c>
      <c r="E80" s="461"/>
      <c r="F80" s="848"/>
    </row>
    <row r="81" spans="2:139" hidden="1" x14ac:dyDescent="0.45">
      <c r="B81" s="1019" t="s">
        <v>983</v>
      </c>
      <c r="C81" s="1" t="s">
        <v>1132</v>
      </c>
      <c r="D81" s="563" t="s">
        <v>990</v>
      </c>
      <c r="E81" s="461"/>
      <c r="F81" s="848"/>
    </row>
    <row r="82" spans="2:139" ht="29.25" hidden="1" thickBot="1" x14ac:dyDescent="0.5">
      <c r="B82" s="1020"/>
      <c r="C82" s="356" t="s">
        <v>1133</v>
      </c>
      <c r="D82" s="565" t="s">
        <v>991</v>
      </c>
      <c r="E82" s="461"/>
      <c r="F82" s="848"/>
    </row>
    <row r="83" spans="2:139" ht="28.5" hidden="1" customHeight="1" x14ac:dyDescent="0.45">
      <c r="B83" s="1020"/>
      <c r="C83" s="1" t="s">
        <v>1134</v>
      </c>
      <c r="D83" s="563" t="s">
        <v>1146</v>
      </c>
      <c r="E83" s="461"/>
      <c r="F83" s="848"/>
    </row>
    <row r="84" spans="2:139" ht="29.25" hidden="1" thickBot="1" x14ac:dyDescent="0.5">
      <c r="B84" s="1021"/>
      <c r="C84" s="356" t="s">
        <v>1135</v>
      </c>
      <c r="D84" s="565" t="s">
        <v>1147</v>
      </c>
      <c r="E84" s="461"/>
      <c r="F84" s="848"/>
    </row>
    <row r="85" spans="2:139" ht="28.5" hidden="1" customHeight="1" x14ac:dyDescent="0.45">
      <c r="B85" s="1019" t="s">
        <v>984</v>
      </c>
      <c r="C85" s="1" t="s">
        <v>1132</v>
      </c>
      <c r="D85" s="563" t="s">
        <v>992</v>
      </c>
      <c r="E85" s="461"/>
      <c r="F85" s="848"/>
    </row>
    <row r="86" spans="2:139" ht="29.25" hidden="1" thickBot="1" x14ac:dyDescent="0.5">
      <c r="B86" s="1020"/>
      <c r="C86" s="356" t="s">
        <v>1133</v>
      </c>
      <c r="D86" s="565" t="s">
        <v>993</v>
      </c>
      <c r="E86" s="461"/>
      <c r="F86" s="848"/>
    </row>
    <row r="87" spans="2:139" ht="28.5" hidden="1" customHeight="1" x14ac:dyDescent="0.45">
      <c r="B87" s="1020"/>
      <c r="C87" s="1" t="s">
        <v>1134</v>
      </c>
      <c r="D87" s="563" t="s">
        <v>1148</v>
      </c>
      <c r="E87" s="461"/>
      <c r="F87" s="848"/>
    </row>
    <row r="88" spans="2:139" ht="29.25" hidden="1" thickBot="1" x14ac:dyDescent="0.5">
      <c r="B88" s="1021"/>
      <c r="C88" s="356" t="s">
        <v>1135</v>
      </c>
      <c r="D88" s="565" t="s">
        <v>1149</v>
      </c>
      <c r="E88" s="461"/>
      <c r="F88" s="848"/>
    </row>
    <row r="89" spans="2:139" ht="28.5" hidden="1" customHeight="1" x14ac:dyDescent="0.45">
      <c r="B89" s="1019" t="s">
        <v>985</v>
      </c>
      <c r="C89" s="1" t="s">
        <v>1132</v>
      </c>
      <c r="D89" s="563" t="s">
        <v>994</v>
      </c>
      <c r="E89" s="461"/>
      <c r="F89" s="848"/>
    </row>
    <row r="90" spans="2:139" ht="29.25" hidden="1" thickBot="1" x14ac:dyDescent="0.5">
      <c r="B90" s="1020"/>
      <c r="C90" s="356" t="s">
        <v>1133</v>
      </c>
      <c r="D90" s="565" t="s">
        <v>995</v>
      </c>
      <c r="E90" s="461"/>
      <c r="F90" s="848"/>
    </row>
    <row r="91" spans="2:139" ht="28.5" hidden="1" customHeight="1" x14ac:dyDescent="0.45">
      <c r="B91" s="1020"/>
      <c r="C91" s="1" t="s">
        <v>1134</v>
      </c>
      <c r="D91" s="563" t="s">
        <v>1150</v>
      </c>
      <c r="E91" s="461"/>
      <c r="F91" s="848"/>
    </row>
    <row r="92" spans="2:139" ht="29.25" hidden="1" thickBot="1" x14ac:dyDescent="0.5">
      <c r="B92" s="1021"/>
      <c r="C92" s="356" t="s">
        <v>1135</v>
      </c>
      <c r="D92" s="565" t="s">
        <v>1151</v>
      </c>
      <c r="E92" s="461"/>
      <c r="F92" s="848"/>
    </row>
    <row r="93" spans="2:139" s="452" customFormat="1" ht="28.5" hidden="1" customHeight="1" x14ac:dyDescent="0.45">
      <c r="B93" s="1019" t="s">
        <v>1003</v>
      </c>
      <c r="C93" s="1" t="s">
        <v>1132</v>
      </c>
      <c r="D93" s="563" t="s">
        <v>996</v>
      </c>
      <c r="E93" s="461"/>
      <c r="F93" s="848"/>
      <c r="G93" s="828"/>
      <c r="H93" s="828"/>
      <c r="I93" s="828"/>
      <c r="J93" s="828"/>
      <c r="K93" s="828"/>
      <c r="L93" s="828"/>
      <c r="M93" s="828"/>
      <c r="N93" s="828"/>
      <c r="O93" s="828"/>
      <c r="P93" s="828"/>
      <c r="Q93" s="828"/>
      <c r="R93" s="828"/>
      <c r="S93" s="828"/>
      <c r="T93" s="828"/>
      <c r="U93" s="828"/>
      <c r="V93" s="828"/>
      <c r="W93" s="828"/>
      <c r="X93" s="828"/>
      <c r="Y93" s="828"/>
      <c r="Z93" s="828"/>
      <c r="AA93" s="828"/>
      <c r="AB93" s="828"/>
      <c r="AC93" s="828"/>
      <c r="AD93" s="828"/>
      <c r="AE93" s="828"/>
      <c r="AF93" s="828"/>
      <c r="AG93" s="828"/>
      <c r="AH93" s="828"/>
      <c r="AI93" s="828"/>
      <c r="AJ93" s="828"/>
      <c r="AK93" s="828"/>
      <c r="AL93" s="828"/>
      <c r="AM93" s="828"/>
      <c r="AN93" s="828"/>
      <c r="AO93" s="828"/>
      <c r="AP93" s="828"/>
      <c r="AQ93" s="828"/>
      <c r="AR93" s="828"/>
      <c r="AS93" s="828"/>
      <c r="AT93" s="828"/>
      <c r="AU93" s="828"/>
      <c r="AV93" s="828"/>
      <c r="AW93" s="828"/>
      <c r="AX93" s="828"/>
      <c r="AY93" s="828"/>
      <c r="AZ93" s="828"/>
      <c r="BA93" s="828"/>
      <c r="BB93" s="828"/>
      <c r="BC93" s="828"/>
      <c r="BD93" s="828"/>
      <c r="BE93" s="828"/>
      <c r="BF93" s="828"/>
      <c r="BG93" s="828"/>
      <c r="BH93" s="828"/>
      <c r="BI93" s="828"/>
      <c r="BJ93" s="828"/>
      <c r="BK93" s="828"/>
      <c r="BL93" s="828"/>
      <c r="BM93" s="828"/>
      <c r="BN93" s="828"/>
      <c r="BO93" s="828"/>
      <c r="BP93" s="828"/>
      <c r="BQ93" s="828"/>
      <c r="BR93" s="828"/>
      <c r="BS93" s="828"/>
      <c r="BT93" s="828"/>
      <c r="BU93" s="828"/>
      <c r="BV93" s="828"/>
      <c r="BW93" s="828"/>
      <c r="BX93" s="828"/>
      <c r="BY93" s="828"/>
      <c r="BZ93" s="828"/>
      <c r="CA93" s="828"/>
      <c r="CB93" s="828"/>
      <c r="CC93" s="828"/>
      <c r="CD93" s="828"/>
      <c r="CE93" s="828"/>
      <c r="CF93" s="828"/>
      <c r="CG93" s="828"/>
      <c r="CH93" s="828"/>
      <c r="CI93" s="828"/>
      <c r="CJ93" s="828"/>
      <c r="CK93" s="828"/>
      <c r="CL93" s="828"/>
      <c r="CM93" s="828"/>
      <c r="CN93" s="828"/>
      <c r="CO93" s="828"/>
      <c r="CP93" s="828"/>
      <c r="CQ93" s="828"/>
      <c r="CR93" s="828"/>
      <c r="CS93" s="828"/>
      <c r="CT93" s="828"/>
      <c r="CU93" s="828"/>
      <c r="CV93" s="828"/>
      <c r="CW93" s="828"/>
      <c r="CX93" s="828"/>
      <c r="CY93" s="828"/>
      <c r="CZ93" s="828"/>
      <c r="DA93" s="828"/>
      <c r="DB93" s="828"/>
      <c r="DC93" s="828"/>
      <c r="DD93" s="828"/>
      <c r="DE93" s="828"/>
      <c r="DF93" s="828"/>
      <c r="DG93" s="828"/>
      <c r="DH93" s="828"/>
      <c r="DI93" s="828"/>
      <c r="DJ93" s="828"/>
      <c r="DK93" s="828"/>
      <c r="DL93" s="828"/>
      <c r="DM93" s="828"/>
      <c r="DN93" s="828"/>
      <c r="DO93" s="828"/>
      <c r="DP93" s="828"/>
      <c r="DQ93" s="828"/>
      <c r="DR93" s="828"/>
      <c r="DS93" s="828"/>
      <c r="DT93" s="828"/>
      <c r="DU93" s="828"/>
      <c r="DV93" s="828"/>
      <c r="DW93" s="828"/>
      <c r="DX93" s="828"/>
      <c r="DY93" s="828"/>
      <c r="DZ93" s="828"/>
      <c r="EA93" s="828"/>
      <c r="EB93" s="828"/>
      <c r="EC93" s="828"/>
      <c r="ED93" s="828"/>
      <c r="EE93" s="828"/>
      <c r="EF93" s="828"/>
      <c r="EG93" s="828"/>
      <c r="EH93" s="828"/>
      <c r="EI93" s="828"/>
    </row>
    <row r="94" spans="2:139" s="452" customFormat="1" ht="29.25" hidden="1" thickBot="1" x14ac:dyDescent="0.5">
      <c r="B94" s="1020"/>
      <c r="C94" s="356" t="s">
        <v>1133</v>
      </c>
      <c r="D94" s="565" t="s">
        <v>997</v>
      </c>
      <c r="E94" s="461"/>
      <c r="F94" s="848"/>
      <c r="G94" s="828"/>
      <c r="H94" s="828"/>
      <c r="I94" s="828"/>
      <c r="J94" s="828"/>
      <c r="K94" s="828"/>
      <c r="L94" s="828"/>
      <c r="M94" s="828"/>
      <c r="N94" s="828"/>
      <c r="O94" s="828"/>
      <c r="P94" s="828"/>
      <c r="Q94" s="828"/>
      <c r="R94" s="828"/>
      <c r="S94" s="828"/>
      <c r="T94" s="828"/>
      <c r="U94" s="828"/>
      <c r="V94" s="828"/>
      <c r="W94" s="828"/>
      <c r="X94" s="828"/>
      <c r="Y94" s="828"/>
      <c r="Z94" s="828"/>
      <c r="AA94" s="828"/>
      <c r="AB94" s="828"/>
      <c r="AC94" s="828"/>
      <c r="AD94" s="828"/>
      <c r="AE94" s="828"/>
      <c r="AF94" s="828"/>
      <c r="AG94" s="828"/>
      <c r="AH94" s="828"/>
      <c r="AI94" s="828"/>
      <c r="AJ94" s="828"/>
      <c r="AK94" s="828"/>
      <c r="AL94" s="828"/>
      <c r="AM94" s="828"/>
      <c r="AN94" s="828"/>
      <c r="AO94" s="828"/>
      <c r="AP94" s="828"/>
      <c r="AQ94" s="828"/>
      <c r="AR94" s="828"/>
      <c r="AS94" s="828"/>
      <c r="AT94" s="828"/>
      <c r="AU94" s="828"/>
      <c r="AV94" s="828"/>
      <c r="AW94" s="828"/>
      <c r="AX94" s="828"/>
      <c r="AY94" s="828"/>
      <c r="AZ94" s="828"/>
      <c r="BA94" s="828"/>
      <c r="BB94" s="828"/>
      <c r="BC94" s="828"/>
      <c r="BD94" s="828"/>
      <c r="BE94" s="828"/>
      <c r="BF94" s="828"/>
      <c r="BG94" s="828"/>
      <c r="BH94" s="828"/>
      <c r="BI94" s="828"/>
      <c r="BJ94" s="828"/>
      <c r="BK94" s="828"/>
      <c r="BL94" s="828"/>
      <c r="BM94" s="828"/>
      <c r="BN94" s="828"/>
      <c r="BO94" s="828"/>
      <c r="BP94" s="828"/>
      <c r="BQ94" s="828"/>
      <c r="BR94" s="828"/>
      <c r="BS94" s="828"/>
      <c r="BT94" s="828"/>
      <c r="BU94" s="828"/>
      <c r="BV94" s="828"/>
      <c r="BW94" s="828"/>
      <c r="BX94" s="828"/>
      <c r="BY94" s="828"/>
      <c r="BZ94" s="828"/>
      <c r="CA94" s="828"/>
      <c r="CB94" s="828"/>
      <c r="CC94" s="828"/>
      <c r="CD94" s="828"/>
      <c r="CE94" s="828"/>
      <c r="CF94" s="828"/>
      <c r="CG94" s="828"/>
      <c r="CH94" s="828"/>
      <c r="CI94" s="828"/>
      <c r="CJ94" s="828"/>
      <c r="CK94" s="828"/>
      <c r="CL94" s="828"/>
      <c r="CM94" s="828"/>
      <c r="CN94" s="828"/>
      <c r="CO94" s="828"/>
      <c r="CP94" s="828"/>
      <c r="CQ94" s="828"/>
      <c r="CR94" s="828"/>
      <c r="CS94" s="828"/>
      <c r="CT94" s="828"/>
      <c r="CU94" s="828"/>
      <c r="CV94" s="828"/>
      <c r="CW94" s="828"/>
      <c r="CX94" s="828"/>
      <c r="CY94" s="828"/>
      <c r="CZ94" s="828"/>
      <c r="DA94" s="828"/>
      <c r="DB94" s="828"/>
      <c r="DC94" s="828"/>
      <c r="DD94" s="828"/>
      <c r="DE94" s="828"/>
      <c r="DF94" s="828"/>
      <c r="DG94" s="828"/>
      <c r="DH94" s="828"/>
      <c r="DI94" s="828"/>
      <c r="DJ94" s="828"/>
      <c r="DK94" s="828"/>
      <c r="DL94" s="828"/>
      <c r="DM94" s="828"/>
      <c r="DN94" s="828"/>
      <c r="DO94" s="828"/>
      <c r="DP94" s="828"/>
      <c r="DQ94" s="828"/>
      <c r="DR94" s="828"/>
      <c r="DS94" s="828"/>
      <c r="DT94" s="828"/>
      <c r="DU94" s="828"/>
      <c r="DV94" s="828"/>
      <c r="DW94" s="828"/>
      <c r="DX94" s="828"/>
      <c r="DY94" s="828"/>
      <c r="DZ94" s="828"/>
      <c r="EA94" s="828"/>
      <c r="EB94" s="828"/>
      <c r="EC94" s="828"/>
      <c r="ED94" s="828"/>
      <c r="EE94" s="828"/>
      <c r="EF94" s="828"/>
      <c r="EG94" s="828"/>
      <c r="EH94" s="828"/>
      <c r="EI94" s="828"/>
    </row>
    <row r="95" spans="2:139" s="452" customFormat="1" ht="28.5" hidden="1" customHeight="1" x14ac:dyDescent="0.45">
      <c r="B95" s="1020"/>
      <c r="C95" s="1" t="s">
        <v>1134</v>
      </c>
      <c r="D95" s="563" t="s">
        <v>1152</v>
      </c>
      <c r="E95" s="461"/>
      <c r="F95" s="848"/>
      <c r="G95" s="828"/>
      <c r="H95" s="828"/>
      <c r="I95" s="828"/>
      <c r="J95" s="828"/>
      <c r="K95" s="828"/>
      <c r="L95" s="828"/>
      <c r="M95" s="828"/>
      <c r="N95" s="828"/>
      <c r="O95" s="828"/>
      <c r="P95" s="828"/>
      <c r="Q95" s="828"/>
      <c r="R95" s="828"/>
      <c r="S95" s="828"/>
      <c r="T95" s="828"/>
      <c r="U95" s="828"/>
      <c r="V95" s="828"/>
      <c r="W95" s="828"/>
      <c r="X95" s="828"/>
      <c r="Y95" s="828"/>
      <c r="Z95" s="828"/>
      <c r="AA95" s="828"/>
      <c r="AB95" s="828"/>
      <c r="AC95" s="828"/>
      <c r="AD95" s="828"/>
      <c r="AE95" s="828"/>
      <c r="AF95" s="828"/>
      <c r="AG95" s="828"/>
      <c r="AH95" s="828"/>
      <c r="AI95" s="828"/>
      <c r="AJ95" s="828"/>
      <c r="AK95" s="828"/>
      <c r="AL95" s="828"/>
      <c r="AM95" s="828"/>
      <c r="AN95" s="828"/>
      <c r="AO95" s="828"/>
      <c r="AP95" s="828"/>
      <c r="AQ95" s="828"/>
      <c r="AR95" s="828"/>
      <c r="AS95" s="828"/>
      <c r="AT95" s="828"/>
      <c r="AU95" s="828"/>
      <c r="AV95" s="828"/>
      <c r="AW95" s="828"/>
      <c r="AX95" s="828"/>
      <c r="AY95" s="828"/>
      <c r="AZ95" s="828"/>
      <c r="BA95" s="828"/>
      <c r="BB95" s="828"/>
      <c r="BC95" s="828"/>
      <c r="BD95" s="828"/>
      <c r="BE95" s="828"/>
      <c r="BF95" s="828"/>
      <c r="BG95" s="828"/>
      <c r="BH95" s="828"/>
      <c r="BI95" s="828"/>
      <c r="BJ95" s="828"/>
      <c r="BK95" s="828"/>
      <c r="BL95" s="828"/>
      <c r="BM95" s="828"/>
      <c r="BN95" s="828"/>
      <c r="BO95" s="828"/>
      <c r="BP95" s="828"/>
      <c r="BQ95" s="828"/>
      <c r="BR95" s="828"/>
      <c r="BS95" s="828"/>
      <c r="BT95" s="828"/>
      <c r="BU95" s="828"/>
      <c r="BV95" s="828"/>
      <c r="BW95" s="828"/>
      <c r="BX95" s="828"/>
      <c r="BY95" s="828"/>
      <c r="BZ95" s="828"/>
      <c r="CA95" s="828"/>
      <c r="CB95" s="828"/>
      <c r="CC95" s="828"/>
      <c r="CD95" s="828"/>
      <c r="CE95" s="828"/>
      <c r="CF95" s="828"/>
      <c r="CG95" s="828"/>
      <c r="CH95" s="828"/>
      <c r="CI95" s="828"/>
      <c r="CJ95" s="828"/>
      <c r="CK95" s="828"/>
      <c r="CL95" s="828"/>
      <c r="CM95" s="828"/>
      <c r="CN95" s="828"/>
      <c r="CO95" s="828"/>
      <c r="CP95" s="828"/>
      <c r="CQ95" s="828"/>
      <c r="CR95" s="828"/>
      <c r="CS95" s="828"/>
      <c r="CT95" s="828"/>
      <c r="CU95" s="828"/>
      <c r="CV95" s="828"/>
      <c r="CW95" s="828"/>
      <c r="CX95" s="828"/>
      <c r="CY95" s="828"/>
      <c r="CZ95" s="828"/>
      <c r="DA95" s="828"/>
      <c r="DB95" s="828"/>
      <c r="DC95" s="828"/>
      <c r="DD95" s="828"/>
      <c r="DE95" s="828"/>
      <c r="DF95" s="828"/>
      <c r="DG95" s="828"/>
      <c r="DH95" s="828"/>
      <c r="DI95" s="828"/>
      <c r="DJ95" s="828"/>
      <c r="DK95" s="828"/>
      <c r="DL95" s="828"/>
      <c r="DM95" s="828"/>
      <c r="DN95" s="828"/>
      <c r="DO95" s="828"/>
      <c r="DP95" s="828"/>
      <c r="DQ95" s="828"/>
      <c r="DR95" s="828"/>
      <c r="DS95" s="828"/>
      <c r="DT95" s="828"/>
      <c r="DU95" s="828"/>
      <c r="DV95" s="828"/>
      <c r="DW95" s="828"/>
      <c r="DX95" s="828"/>
      <c r="DY95" s="828"/>
      <c r="DZ95" s="828"/>
      <c r="EA95" s="828"/>
      <c r="EB95" s="828"/>
      <c r="EC95" s="828"/>
      <c r="ED95" s="828"/>
      <c r="EE95" s="828"/>
      <c r="EF95" s="828"/>
      <c r="EG95" s="828"/>
      <c r="EH95" s="828"/>
      <c r="EI95" s="828"/>
    </row>
    <row r="96" spans="2:139" s="452" customFormat="1" ht="29.25" hidden="1" thickBot="1" x14ac:dyDescent="0.5">
      <c r="B96" s="1021"/>
      <c r="C96" s="356" t="s">
        <v>1135</v>
      </c>
      <c r="D96" s="565" t="s">
        <v>1153</v>
      </c>
      <c r="E96" s="461"/>
      <c r="F96" s="848"/>
      <c r="G96" s="828"/>
      <c r="H96" s="828"/>
      <c r="I96" s="828"/>
      <c r="J96" s="828"/>
      <c r="K96" s="828"/>
      <c r="L96" s="828"/>
      <c r="M96" s="828"/>
      <c r="N96" s="828"/>
      <c r="O96" s="828"/>
      <c r="P96" s="828"/>
      <c r="Q96" s="828"/>
      <c r="R96" s="828"/>
      <c r="S96" s="828"/>
      <c r="T96" s="828"/>
      <c r="U96" s="828"/>
      <c r="V96" s="828"/>
      <c r="W96" s="828"/>
      <c r="X96" s="828"/>
      <c r="Y96" s="828"/>
      <c r="Z96" s="828"/>
      <c r="AA96" s="828"/>
      <c r="AB96" s="828"/>
      <c r="AC96" s="828"/>
      <c r="AD96" s="828"/>
      <c r="AE96" s="828"/>
      <c r="AF96" s="828"/>
      <c r="AG96" s="828"/>
      <c r="AH96" s="828"/>
      <c r="AI96" s="828"/>
      <c r="AJ96" s="828"/>
      <c r="AK96" s="828"/>
      <c r="AL96" s="828"/>
      <c r="AM96" s="828"/>
      <c r="AN96" s="828"/>
      <c r="AO96" s="828"/>
      <c r="AP96" s="828"/>
      <c r="AQ96" s="828"/>
      <c r="AR96" s="828"/>
      <c r="AS96" s="828"/>
      <c r="AT96" s="828"/>
      <c r="AU96" s="828"/>
      <c r="AV96" s="828"/>
      <c r="AW96" s="828"/>
      <c r="AX96" s="828"/>
      <c r="AY96" s="828"/>
      <c r="AZ96" s="828"/>
      <c r="BA96" s="828"/>
      <c r="BB96" s="828"/>
      <c r="BC96" s="828"/>
      <c r="BD96" s="828"/>
      <c r="BE96" s="828"/>
      <c r="BF96" s="828"/>
      <c r="BG96" s="828"/>
      <c r="BH96" s="828"/>
      <c r="BI96" s="828"/>
      <c r="BJ96" s="828"/>
      <c r="BK96" s="828"/>
      <c r="BL96" s="828"/>
      <c r="BM96" s="828"/>
      <c r="BN96" s="828"/>
      <c r="BO96" s="828"/>
      <c r="BP96" s="828"/>
      <c r="BQ96" s="828"/>
      <c r="BR96" s="828"/>
      <c r="BS96" s="828"/>
      <c r="BT96" s="828"/>
      <c r="BU96" s="828"/>
      <c r="BV96" s="828"/>
      <c r="BW96" s="828"/>
      <c r="BX96" s="828"/>
      <c r="BY96" s="828"/>
      <c r="BZ96" s="828"/>
      <c r="CA96" s="828"/>
      <c r="CB96" s="828"/>
      <c r="CC96" s="828"/>
      <c r="CD96" s="828"/>
      <c r="CE96" s="828"/>
      <c r="CF96" s="828"/>
      <c r="CG96" s="828"/>
      <c r="CH96" s="828"/>
      <c r="CI96" s="828"/>
      <c r="CJ96" s="828"/>
      <c r="CK96" s="828"/>
      <c r="CL96" s="828"/>
      <c r="CM96" s="828"/>
      <c r="CN96" s="828"/>
      <c r="CO96" s="828"/>
      <c r="CP96" s="828"/>
      <c r="CQ96" s="828"/>
      <c r="CR96" s="828"/>
      <c r="CS96" s="828"/>
      <c r="CT96" s="828"/>
      <c r="CU96" s="828"/>
      <c r="CV96" s="828"/>
      <c r="CW96" s="828"/>
      <c r="CX96" s="828"/>
      <c r="CY96" s="828"/>
      <c r="CZ96" s="828"/>
      <c r="DA96" s="828"/>
      <c r="DB96" s="828"/>
      <c r="DC96" s="828"/>
      <c r="DD96" s="828"/>
      <c r="DE96" s="828"/>
      <c r="DF96" s="828"/>
      <c r="DG96" s="828"/>
      <c r="DH96" s="828"/>
      <c r="DI96" s="828"/>
      <c r="DJ96" s="828"/>
      <c r="DK96" s="828"/>
      <c r="DL96" s="828"/>
      <c r="DM96" s="828"/>
      <c r="DN96" s="828"/>
      <c r="DO96" s="828"/>
      <c r="DP96" s="828"/>
      <c r="DQ96" s="828"/>
      <c r="DR96" s="828"/>
      <c r="DS96" s="828"/>
      <c r="DT96" s="828"/>
      <c r="DU96" s="828"/>
      <c r="DV96" s="828"/>
      <c r="DW96" s="828"/>
      <c r="DX96" s="828"/>
      <c r="DY96" s="828"/>
      <c r="DZ96" s="828"/>
      <c r="EA96" s="828"/>
      <c r="EB96" s="828"/>
      <c r="EC96" s="828"/>
      <c r="ED96" s="828"/>
      <c r="EE96" s="828"/>
      <c r="EF96" s="828"/>
      <c r="EG96" s="828"/>
      <c r="EH96" s="828"/>
      <c r="EI96" s="828"/>
    </row>
    <row r="97" spans="2:6" x14ac:dyDescent="0.45">
      <c r="B97" s="1025" t="s">
        <v>100</v>
      </c>
      <c r="C97" s="1026"/>
      <c r="D97" s="1026"/>
      <c r="E97" s="1026"/>
      <c r="F97" s="1027"/>
    </row>
    <row r="98" spans="2:6" ht="57" x14ac:dyDescent="0.45">
      <c r="B98" s="1028" t="s">
        <v>20</v>
      </c>
      <c r="C98" s="482" t="s">
        <v>1008</v>
      </c>
      <c r="D98" s="770" t="s">
        <v>162</v>
      </c>
      <c r="E98" s="425" t="s">
        <v>43</v>
      </c>
      <c r="F98" s="842" t="s">
        <v>168</v>
      </c>
    </row>
    <row r="99" spans="2:6" ht="57" x14ac:dyDescent="0.45">
      <c r="B99" s="1028"/>
      <c r="C99" s="482" t="s">
        <v>163</v>
      </c>
      <c r="D99" s="770" t="s">
        <v>164</v>
      </c>
      <c r="E99" s="425" t="s">
        <v>110</v>
      </c>
      <c r="F99" s="842"/>
    </row>
    <row r="100" spans="2:6" x14ac:dyDescent="0.45">
      <c r="B100" s="1028"/>
      <c r="C100" s="482" t="s">
        <v>306</v>
      </c>
      <c r="D100" s="770" t="s">
        <v>165</v>
      </c>
      <c r="E100" s="425" t="s">
        <v>44</v>
      </c>
      <c r="F100" s="842"/>
    </row>
    <row r="101" spans="2:6" ht="57" x14ac:dyDescent="0.45">
      <c r="B101" s="1028"/>
      <c r="C101" s="432" t="s">
        <v>1009</v>
      </c>
      <c r="D101" s="770" t="s">
        <v>166</v>
      </c>
      <c r="E101" s="425" t="s">
        <v>45</v>
      </c>
      <c r="F101" s="842"/>
    </row>
    <row r="102" spans="2:6" ht="57" x14ac:dyDescent="0.45">
      <c r="B102" s="1028"/>
      <c r="C102" s="76" t="s">
        <v>1255</v>
      </c>
      <c r="D102" s="874" t="s">
        <v>1254</v>
      </c>
      <c r="E102" s="425" t="s">
        <v>1344</v>
      </c>
      <c r="F102" s="842" t="s">
        <v>1342</v>
      </c>
    </row>
    <row r="103" spans="2:6" ht="57.75" thickBot="1" x14ac:dyDescent="0.5">
      <c r="B103" s="1028"/>
      <c r="C103" s="432" t="s">
        <v>307</v>
      </c>
      <c r="D103" s="770" t="s">
        <v>167</v>
      </c>
      <c r="E103" s="425" t="s">
        <v>46</v>
      </c>
      <c r="F103" s="842"/>
    </row>
    <row r="104" spans="2:6" x14ac:dyDescent="0.45">
      <c r="B104" s="1023" t="s">
        <v>1302</v>
      </c>
      <c r="C104" s="962" t="s">
        <v>146</v>
      </c>
      <c r="D104" s="963" t="s">
        <v>924</v>
      </c>
      <c r="E104" s="425" t="s">
        <v>929</v>
      </c>
      <c r="F104" s="842" t="s">
        <v>930</v>
      </c>
    </row>
    <row r="105" spans="2:6" ht="83.25" customHeight="1" thickBot="1" x14ac:dyDescent="0.5">
      <c r="B105" s="1024"/>
      <c r="C105" s="964" t="s">
        <v>138</v>
      </c>
      <c r="D105" s="963" t="s">
        <v>925</v>
      </c>
      <c r="E105" s="425" t="s">
        <v>931</v>
      </c>
      <c r="F105" s="842" t="s">
        <v>930</v>
      </c>
    </row>
    <row r="106" spans="2:6" ht="31.5" customHeight="1" x14ac:dyDescent="0.45">
      <c r="B106" s="1023" t="s">
        <v>1178</v>
      </c>
      <c r="C106" s="965" t="s">
        <v>146</v>
      </c>
      <c r="D106" s="899" t="s">
        <v>1179</v>
      </c>
      <c r="E106" s="425"/>
      <c r="F106" s="842"/>
    </row>
    <row r="107" spans="2:6" ht="29.25" thickBot="1" x14ac:dyDescent="0.5">
      <c r="B107" s="1024"/>
      <c r="C107" s="966" t="s">
        <v>138</v>
      </c>
      <c r="D107" s="576" t="s">
        <v>1180</v>
      </c>
      <c r="E107" s="425"/>
      <c r="F107" s="842"/>
    </row>
    <row r="108" spans="2:6" x14ac:dyDescent="0.45">
      <c r="B108" s="1025" t="s">
        <v>112</v>
      </c>
      <c r="C108" s="1026"/>
      <c r="D108" s="1026"/>
      <c r="E108" s="1026"/>
      <c r="F108" s="1027"/>
    </row>
    <row r="109" spans="2:6" ht="57" x14ac:dyDescent="0.45">
      <c r="B109" s="1022" t="s">
        <v>554</v>
      </c>
      <c r="C109" s="482" t="s">
        <v>1010</v>
      </c>
      <c r="D109" s="770" t="s">
        <v>172</v>
      </c>
      <c r="E109" s="425" t="s">
        <v>48</v>
      </c>
      <c r="F109" s="842" t="s">
        <v>183</v>
      </c>
    </row>
    <row r="110" spans="2:6" x14ac:dyDescent="0.45">
      <c r="B110" s="1022"/>
      <c r="C110" s="482" t="s">
        <v>681</v>
      </c>
      <c r="D110" s="770" t="s">
        <v>533</v>
      </c>
      <c r="E110" s="413" t="s">
        <v>682</v>
      </c>
      <c r="F110" s="836" t="s">
        <v>683</v>
      </c>
    </row>
    <row r="111" spans="2:6" x14ac:dyDescent="0.45">
      <c r="B111" s="1022"/>
      <c r="C111" s="482" t="s">
        <v>684</v>
      </c>
      <c r="D111" s="770" t="s">
        <v>534</v>
      </c>
      <c r="E111" s="413" t="s">
        <v>685</v>
      </c>
      <c r="F111" s="836" t="s">
        <v>683</v>
      </c>
    </row>
    <row r="112" spans="2:6" ht="85.5" x14ac:dyDescent="0.45">
      <c r="B112" s="1022"/>
      <c r="C112" s="482" t="s">
        <v>1011</v>
      </c>
      <c r="D112" s="770" t="s">
        <v>173</v>
      </c>
      <c r="E112" s="425" t="s">
        <v>47</v>
      </c>
      <c r="F112" s="842" t="s">
        <v>184</v>
      </c>
    </row>
    <row r="113" spans="2:6" ht="57" x14ac:dyDescent="0.45">
      <c r="B113" s="891" t="s">
        <v>555</v>
      </c>
      <c r="C113" s="433" t="s">
        <v>603</v>
      </c>
      <c r="D113" s="770" t="s">
        <v>174</v>
      </c>
      <c r="E113" s="425" t="s">
        <v>108</v>
      </c>
      <c r="F113" s="842" t="s">
        <v>185</v>
      </c>
    </row>
    <row r="114" spans="2:6" x14ac:dyDescent="0.45">
      <c r="B114" s="1022" t="s">
        <v>547</v>
      </c>
      <c r="C114" s="432" t="s">
        <v>369</v>
      </c>
      <c r="D114" s="770" t="s">
        <v>548</v>
      </c>
      <c r="E114" s="413" t="s">
        <v>686</v>
      </c>
      <c r="F114" s="836" t="s">
        <v>687</v>
      </c>
    </row>
    <row r="115" spans="2:6" x14ac:dyDescent="0.45">
      <c r="B115" s="1022"/>
      <c r="C115" s="432" t="s">
        <v>364</v>
      </c>
      <c r="D115" s="770" t="s">
        <v>549</v>
      </c>
      <c r="E115" s="413" t="s">
        <v>688</v>
      </c>
      <c r="F115" s="836" t="s">
        <v>687</v>
      </c>
    </row>
    <row r="116" spans="2:6" x14ac:dyDescent="0.45">
      <c r="B116" s="1022"/>
      <c r="C116" s="482" t="s">
        <v>365</v>
      </c>
      <c r="D116" s="770" t="s">
        <v>550</v>
      </c>
      <c r="E116" s="413" t="s">
        <v>689</v>
      </c>
      <c r="F116" s="836" t="s">
        <v>687</v>
      </c>
    </row>
    <row r="117" spans="2:6" x14ac:dyDescent="0.45">
      <c r="B117" s="1022"/>
      <c r="C117" s="482" t="s">
        <v>366</v>
      </c>
      <c r="D117" s="770" t="s">
        <v>551</v>
      </c>
      <c r="E117" s="413" t="s">
        <v>690</v>
      </c>
      <c r="F117" s="836" t="s">
        <v>687</v>
      </c>
    </row>
    <row r="118" spans="2:6" x14ac:dyDescent="0.45">
      <c r="B118" s="1022"/>
      <c r="C118" s="482" t="s">
        <v>367</v>
      </c>
      <c r="D118" s="770" t="s">
        <v>552</v>
      </c>
      <c r="E118" s="413" t="s">
        <v>691</v>
      </c>
      <c r="F118" s="836" t="s">
        <v>687</v>
      </c>
    </row>
    <row r="119" spans="2:6" ht="29.25" thickBot="1" x14ac:dyDescent="0.5">
      <c r="B119" s="1022"/>
      <c r="C119" s="482" t="s">
        <v>368</v>
      </c>
      <c r="D119" s="770" t="s">
        <v>553</v>
      </c>
      <c r="E119" s="413" t="s">
        <v>692</v>
      </c>
      <c r="F119" s="836" t="s">
        <v>687</v>
      </c>
    </row>
    <row r="120" spans="2:6" ht="32.25" customHeight="1" x14ac:dyDescent="0.45">
      <c r="B120" s="1048" t="s">
        <v>1270</v>
      </c>
      <c r="C120" s="884" t="s">
        <v>1154</v>
      </c>
      <c r="D120" s="886" t="s">
        <v>1256</v>
      </c>
      <c r="E120" s="998" t="s">
        <v>1313</v>
      </c>
      <c r="F120" s="842" t="s">
        <v>1310</v>
      </c>
    </row>
    <row r="121" spans="2:6" ht="32.25" customHeight="1" thickBot="1" x14ac:dyDescent="0.5">
      <c r="B121" s="1049"/>
      <c r="C121" s="885" t="s">
        <v>1155</v>
      </c>
      <c r="D121" s="875" t="s">
        <v>1257</v>
      </c>
      <c r="E121" s="998" t="s">
        <v>1314</v>
      </c>
      <c r="F121" s="842" t="s">
        <v>1310</v>
      </c>
    </row>
    <row r="122" spans="2:6" ht="32.25" customHeight="1" x14ac:dyDescent="0.45">
      <c r="B122" s="1046" t="s">
        <v>1265</v>
      </c>
      <c r="C122" s="884" t="s">
        <v>1259</v>
      </c>
      <c r="D122" s="886" t="s">
        <v>1261</v>
      </c>
      <c r="E122" s="999" t="s">
        <v>1316</v>
      </c>
      <c r="F122" s="842" t="s">
        <v>1310</v>
      </c>
    </row>
    <row r="123" spans="2:6" ht="32.25" customHeight="1" thickBot="1" x14ac:dyDescent="0.5">
      <c r="B123" s="1047"/>
      <c r="C123" s="885" t="s">
        <v>1260</v>
      </c>
      <c r="D123" s="875" t="s">
        <v>1262</v>
      </c>
      <c r="E123" s="999" t="s">
        <v>1317</v>
      </c>
      <c r="F123" s="842" t="s">
        <v>1310</v>
      </c>
    </row>
    <row r="124" spans="2:6" ht="32.25" customHeight="1" x14ac:dyDescent="0.45">
      <c r="B124" s="1046" t="s">
        <v>1264</v>
      </c>
      <c r="C124" s="884" t="s">
        <v>1263</v>
      </c>
      <c r="D124" s="886" t="s">
        <v>1267</v>
      </c>
      <c r="E124" s="999" t="s">
        <v>1311</v>
      </c>
      <c r="F124" s="842" t="s">
        <v>1310</v>
      </c>
    </row>
    <row r="125" spans="2:6" ht="32.25" customHeight="1" x14ac:dyDescent="0.45">
      <c r="B125" s="1050"/>
      <c r="C125" s="887" t="s">
        <v>1266</v>
      </c>
      <c r="D125" s="888" t="s">
        <v>1268</v>
      </c>
      <c r="E125" s="999" t="s">
        <v>1312</v>
      </c>
      <c r="F125" s="842" t="s">
        <v>1310</v>
      </c>
    </row>
    <row r="126" spans="2:6" ht="32.25" customHeight="1" thickBot="1" x14ac:dyDescent="0.5">
      <c r="B126" s="1047"/>
      <c r="C126" s="885" t="s">
        <v>21</v>
      </c>
      <c r="D126" s="875" t="s">
        <v>1269</v>
      </c>
      <c r="E126" s="999" t="s">
        <v>1315</v>
      </c>
      <c r="F126" s="842" t="s">
        <v>1310</v>
      </c>
    </row>
    <row r="127" spans="2:6" ht="32.25" customHeight="1" thickBot="1" x14ac:dyDescent="0.5">
      <c r="B127" s="898" t="s">
        <v>1277</v>
      </c>
      <c r="C127" s="884" t="s">
        <v>1278</v>
      </c>
      <c r="D127" s="886" t="s">
        <v>1279</v>
      </c>
      <c r="E127" s="999" t="s">
        <v>1318</v>
      </c>
      <c r="F127" s="836"/>
    </row>
    <row r="128" spans="2:6" ht="89.25" customHeight="1" thickBot="1" x14ac:dyDescent="0.5">
      <c r="B128" s="815" t="s">
        <v>961</v>
      </c>
      <c r="C128" s="497" t="s">
        <v>1159</v>
      </c>
      <c r="D128" s="561" t="s">
        <v>962</v>
      </c>
      <c r="E128" s="425" t="s">
        <v>1336</v>
      </c>
      <c r="F128" s="842" t="s">
        <v>1310</v>
      </c>
    </row>
    <row r="129" spans="2:139" ht="32.25" customHeight="1" x14ac:dyDescent="0.45">
      <c r="B129" s="1094" t="s">
        <v>1129</v>
      </c>
      <c r="C129" s="91" t="s">
        <v>1130</v>
      </c>
      <c r="D129" s="893" t="s">
        <v>176</v>
      </c>
      <c r="E129" s="998" t="s">
        <v>1319</v>
      </c>
      <c r="F129" s="842"/>
    </row>
    <row r="130" spans="2:139" ht="32.25" customHeight="1" thickBot="1" x14ac:dyDescent="0.5">
      <c r="B130" s="1095"/>
      <c r="C130" s="118" t="s">
        <v>1131</v>
      </c>
      <c r="D130" s="894" t="s">
        <v>177</v>
      </c>
      <c r="E130" s="998" t="s">
        <v>1320</v>
      </c>
      <c r="F130" s="842"/>
    </row>
    <row r="131" spans="2:139" ht="32.25" customHeight="1" x14ac:dyDescent="0.45">
      <c r="B131" s="1096" t="s">
        <v>1156</v>
      </c>
      <c r="C131" s="501" t="s">
        <v>1154</v>
      </c>
      <c r="D131" s="894" t="s">
        <v>1157</v>
      </c>
      <c r="E131" s="1000" t="s">
        <v>1321</v>
      </c>
      <c r="F131" s="842"/>
    </row>
    <row r="132" spans="2:139" ht="32.25" customHeight="1" thickBot="1" x14ac:dyDescent="0.5">
      <c r="B132" s="1097"/>
      <c r="C132" s="502" t="s">
        <v>1155</v>
      </c>
      <c r="D132" s="776" t="s">
        <v>1158</v>
      </c>
      <c r="E132" s="1000" t="s">
        <v>1322</v>
      </c>
      <c r="F132" s="842"/>
    </row>
    <row r="133" spans="2:139" ht="32.25" customHeight="1" x14ac:dyDescent="0.45">
      <c r="B133" s="1062" t="s">
        <v>102</v>
      </c>
      <c r="C133" s="500" t="s">
        <v>1012</v>
      </c>
      <c r="D133" s="769" t="s">
        <v>330</v>
      </c>
      <c r="E133" s="425" t="s">
        <v>123</v>
      </c>
      <c r="F133" s="842" t="s">
        <v>186</v>
      </c>
    </row>
    <row r="134" spans="2:139" ht="32.25" customHeight="1" thickBot="1" x14ac:dyDescent="0.5">
      <c r="B134" s="1028"/>
      <c r="C134" s="483" t="s">
        <v>308</v>
      </c>
      <c r="D134" s="770" t="s">
        <v>331</v>
      </c>
      <c r="E134" s="425" t="s">
        <v>122</v>
      </c>
      <c r="F134" s="842" t="s">
        <v>187</v>
      </c>
    </row>
    <row r="135" spans="2:139" ht="32.25" customHeight="1" x14ac:dyDescent="0.45">
      <c r="B135" s="1045" t="s">
        <v>1198</v>
      </c>
      <c r="C135" s="968" t="s">
        <v>367</v>
      </c>
      <c r="D135" s="969" t="s">
        <v>1199</v>
      </c>
      <c r="E135" s="998" t="s">
        <v>1341</v>
      </c>
      <c r="F135" s="842"/>
    </row>
    <row r="136" spans="2:139" ht="32.25" customHeight="1" thickBot="1" x14ac:dyDescent="0.5">
      <c r="B136" s="1024"/>
      <c r="C136" s="970" t="s">
        <v>365</v>
      </c>
      <c r="D136" s="971" t="s">
        <v>1200</v>
      </c>
      <c r="E136" s="998" t="s">
        <v>1340</v>
      </c>
      <c r="F136" s="842"/>
    </row>
    <row r="137" spans="2:139" ht="32.25" customHeight="1" x14ac:dyDescent="0.45">
      <c r="B137" s="1046" t="s">
        <v>1271</v>
      </c>
      <c r="C137" s="884" t="s">
        <v>1259</v>
      </c>
      <c r="D137" s="886" t="s">
        <v>1272</v>
      </c>
      <c r="E137" s="1001" t="s">
        <v>1333</v>
      </c>
      <c r="F137" s="843"/>
    </row>
    <row r="138" spans="2:139" ht="32.25" customHeight="1" thickBot="1" x14ac:dyDescent="0.5">
      <c r="B138" s="1047"/>
      <c r="C138" s="885" t="s">
        <v>1260</v>
      </c>
      <c r="D138" s="875" t="s">
        <v>1273</v>
      </c>
      <c r="E138" s="1001" t="s">
        <v>1334</v>
      </c>
      <c r="F138" s="843"/>
    </row>
    <row r="139" spans="2:139" ht="32.25" customHeight="1" x14ac:dyDescent="0.45">
      <c r="B139" s="1046" t="s">
        <v>1308</v>
      </c>
      <c r="C139" s="884" t="s">
        <v>1263</v>
      </c>
      <c r="D139" s="886" t="s">
        <v>1274</v>
      </c>
      <c r="E139" s="1001" t="s">
        <v>1335</v>
      </c>
      <c r="F139" s="843"/>
    </row>
    <row r="140" spans="2:139" ht="32.25" customHeight="1" x14ac:dyDescent="0.45">
      <c r="B140" s="1050"/>
      <c r="C140" s="887" t="s">
        <v>1266</v>
      </c>
      <c r="D140" s="888" t="s">
        <v>1275</v>
      </c>
      <c r="E140" s="1001" t="s">
        <v>1337</v>
      </c>
      <c r="F140" s="843"/>
    </row>
    <row r="141" spans="2:139" ht="32.25" customHeight="1" thickBot="1" x14ac:dyDescent="0.5">
      <c r="B141" s="1047"/>
      <c r="C141" s="885" t="s">
        <v>21</v>
      </c>
      <c r="D141" s="875" t="s">
        <v>1276</v>
      </c>
      <c r="E141" s="460" t="s">
        <v>1338</v>
      </c>
      <c r="F141" s="843"/>
    </row>
    <row r="142" spans="2:139" ht="49.5" customHeight="1" thickBot="1" x14ac:dyDescent="0.5">
      <c r="B142" s="898" t="s">
        <v>1280</v>
      </c>
      <c r="C142" s="884" t="s">
        <v>1281</v>
      </c>
      <c r="D142" s="886" t="s">
        <v>1282</v>
      </c>
      <c r="E142" s="460" t="s">
        <v>1339</v>
      </c>
      <c r="F142" s="843"/>
    </row>
    <row r="143" spans="2:139" x14ac:dyDescent="0.45">
      <c r="B143" s="1056" t="s">
        <v>1201</v>
      </c>
      <c r="C143" s="1057"/>
      <c r="D143" s="1057"/>
      <c r="E143" s="1057"/>
      <c r="F143" s="1058"/>
    </row>
    <row r="144" spans="2:139" s="18" customFormat="1" ht="33.4" customHeight="1" thickBot="1" x14ac:dyDescent="0.45">
      <c r="B144" s="1056" t="s">
        <v>1244</v>
      </c>
      <c r="C144" s="1057"/>
      <c r="D144" s="1057"/>
      <c r="E144" s="1057"/>
      <c r="F144" s="1058"/>
      <c r="G144" s="829"/>
      <c r="H144" s="829"/>
      <c r="I144" s="829"/>
      <c r="J144" s="829"/>
      <c r="K144" s="829"/>
      <c r="L144" s="829"/>
      <c r="M144" s="829"/>
      <c r="N144" s="829"/>
      <c r="O144" s="829"/>
      <c r="P144" s="829"/>
      <c r="Q144" s="829"/>
      <c r="R144" s="829"/>
      <c r="S144" s="829"/>
      <c r="T144" s="829"/>
      <c r="U144" s="829"/>
      <c r="V144" s="829"/>
      <c r="W144" s="829"/>
      <c r="X144" s="829"/>
      <c r="Y144" s="829"/>
      <c r="Z144" s="829"/>
      <c r="AA144" s="829"/>
      <c r="AB144" s="829"/>
      <c r="AC144" s="829"/>
      <c r="AD144" s="829"/>
      <c r="AE144" s="829"/>
      <c r="AF144" s="829"/>
      <c r="AG144" s="829"/>
      <c r="AH144" s="829"/>
      <c r="AI144" s="829"/>
      <c r="AJ144" s="829"/>
      <c r="AK144" s="829"/>
      <c r="AL144" s="829"/>
      <c r="AM144" s="829"/>
      <c r="AN144" s="829"/>
      <c r="AO144" s="469">
        <v>97</v>
      </c>
      <c r="AP144" s="74"/>
      <c r="AQ144" s="830"/>
      <c r="AR144" s="831"/>
      <c r="AS144" s="831"/>
      <c r="AT144" s="831"/>
      <c r="AU144" s="831"/>
      <c r="AV144" s="831"/>
      <c r="AW144" s="831"/>
      <c r="AX144" s="831"/>
      <c r="AY144" s="831"/>
      <c r="AZ144" s="831"/>
      <c r="BA144" s="831"/>
      <c r="BB144" s="831"/>
      <c r="BC144" s="831"/>
      <c r="BD144" s="831"/>
      <c r="BE144" s="831"/>
      <c r="BF144" s="831"/>
      <c r="BG144" s="831"/>
      <c r="BH144" s="831"/>
      <c r="BI144" s="831"/>
      <c r="BJ144" s="831"/>
      <c r="BK144" s="831"/>
      <c r="BL144" s="831"/>
      <c r="BM144" s="831"/>
      <c r="BN144" s="831"/>
      <c r="BO144" s="831"/>
      <c r="BP144" s="831"/>
      <c r="BQ144" s="831"/>
      <c r="BR144" s="831"/>
      <c r="BS144" s="831"/>
      <c r="BT144" s="831"/>
      <c r="BU144" s="831"/>
      <c r="BV144" s="831"/>
      <c r="BW144" s="831"/>
      <c r="BX144" s="831"/>
      <c r="BY144" s="831"/>
      <c r="BZ144" s="831"/>
      <c r="CA144" s="831"/>
      <c r="CB144" s="831"/>
      <c r="CC144" s="831"/>
      <c r="CD144" s="831"/>
      <c r="CE144" s="831"/>
      <c r="CF144" s="831"/>
      <c r="CG144" s="831"/>
      <c r="CH144" s="831"/>
      <c r="CI144" s="831"/>
      <c r="CJ144" s="831"/>
      <c r="CK144" s="831"/>
      <c r="CL144" s="831"/>
      <c r="CM144" s="831"/>
      <c r="CN144" s="831"/>
      <c r="CO144" s="831"/>
      <c r="CP144" s="831"/>
      <c r="CQ144" s="831"/>
      <c r="CR144" s="831"/>
      <c r="CS144" s="831"/>
      <c r="CT144" s="831"/>
      <c r="CU144" s="831"/>
      <c r="CV144" s="831"/>
      <c r="CW144" s="831"/>
      <c r="CX144" s="831"/>
      <c r="CY144" s="831"/>
      <c r="CZ144" s="831"/>
      <c r="DA144" s="831"/>
      <c r="DB144" s="831"/>
      <c r="DC144" s="831"/>
      <c r="DD144" s="831"/>
      <c r="DE144" s="831"/>
      <c r="DF144" s="831"/>
      <c r="DG144" s="831"/>
      <c r="DH144" s="831"/>
      <c r="DI144" s="831"/>
      <c r="DJ144" s="831"/>
      <c r="DK144" s="831"/>
      <c r="DL144" s="831"/>
      <c r="DM144" s="831"/>
      <c r="DN144" s="831"/>
      <c r="DO144" s="831"/>
      <c r="DP144" s="831"/>
      <c r="DQ144" s="831"/>
      <c r="DR144" s="831"/>
      <c r="DS144" s="831"/>
      <c r="DT144" s="831"/>
      <c r="DU144" s="831"/>
      <c r="DV144" s="831"/>
      <c r="DW144" s="831"/>
      <c r="DX144" s="831"/>
      <c r="DY144" s="831"/>
      <c r="DZ144" s="831"/>
      <c r="EA144" s="831"/>
      <c r="EB144" s="831"/>
      <c r="EC144" s="831"/>
      <c r="ED144" s="831"/>
      <c r="EE144" s="831"/>
      <c r="EF144" s="831"/>
      <c r="EG144" s="831"/>
      <c r="EH144" s="831"/>
      <c r="EI144" s="831"/>
    </row>
    <row r="145" spans="1:139" s="787" customFormat="1" x14ac:dyDescent="0.45">
      <c r="A145" s="818"/>
      <c r="B145" s="972" t="s">
        <v>1202</v>
      </c>
      <c r="C145" s="967" t="s">
        <v>1203</v>
      </c>
      <c r="D145" s="575" t="s">
        <v>1208</v>
      </c>
      <c r="E145" s="786"/>
      <c r="F145" s="849"/>
      <c r="G145" s="816"/>
      <c r="H145" s="816"/>
      <c r="I145" s="816"/>
      <c r="J145" s="816"/>
      <c r="K145" s="816"/>
      <c r="L145" s="816"/>
      <c r="M145" s="816"/>
      <c r="N145" s="816"/>
      <c r="O145" s="816"/>
      <c r="P145" s="816"/>
      <c r="Q145" s="816"/>
      <c r="R145" s="816"/>
      <c r="S145" s="816"/>
      <c r="T145" s="816"/>
      <c r="U145" s="816"/>
      <c r="V145" s="816"/>
      <c r="W145" s="816"/>
      <c r="X145" s="816"/>
      <c r="Y145" s="816"/>
      <c r="Z145" s="816"/>
      <c r="AA145" s="816"/>
      <c r="AB145" s="816"/>
      <c r="AC145" s="816"/>
      <c r="AD145" s="816"/>
      <c r="AE145" s="816"/>
      <c r="AF145" s="816"/>
      <c r="AG145" s="816"/>
      <c r="AH145" s="816"/>
      <c r="AI145" s="816"/>
      <c r="AJ145" s="816"/>
      <c r="AK145" s="816"/>
      <c r="AL145" s="816"/>
      <c r="AM145" s="816"/>
      <c r="AN145" s="816"/>
      <c r="AO145" s="816"/>
      <c r="AP145" s="816"/>
      <c r="AQ145" s="816"/>
      <c r="AR145" s="816"/>
      <c r="AS145" s="816"/>
      <c r="AT145" s="816"/>
      <c r="AU145" s="816"/>
      <c r="AV145" s="816"/>
      <c r="AW145" s="816"/>
      <c r="AX145" s="816"/>
      <c r="AY145" s="816"/>
      <c r="AZ145" s="816"/>
      <c r="BA145" s="816"/>
      <c r="BB145" s="816"/>
      <c r="BC145" s="816"/>
      <c r="BD145" s="816"/>
      <c r="BE145" s="816"/>
      <c r="BF145" s="816"/>
      <c r="BG145" s="816"/>
      <c r="BH145" s="816"/>
      <c r="BI145" s="816"/>
      <c r="BJ145" s="816"/>
      <c r="BK145" s="816"/>
      <c r="BL145" s="816"/>
      <c r="BM145" s="816"/>
      <c r="BN145" s="816"/>
      <c r="BO145" s="816"/>
      <c r="BP145" s="816"/>
      <c r="BQ145" s="816"/>
      <c r="BR145" s="816"/>
      <c r="BS145" s="816"/>
      <c r="BT145" s="816"/>
      <c r="BU145" s="816"/>
      <c r="BV145" s="816"/>
      <c r="BW145" s="816"/>
      <c r="BX145" s="816"/>
      <c r="BY145" s="816"/>
      <c r="BZ145" s="816"/>
      <c r="CA145" s="816"/>
      <c r="CB145" s="816"/>
      <c r="CC145" s="816"/>
      <c r="CD145" s="816"/>
      <c r="CE145" s="816"/>
      <c r="CF145" s="816"/>
      <c r="CG145" s="816"/>
      <c r="CH145" s="816"/>
      <c r="CI145" s="816"/>
      <c r="CJ145" s="816"/>
      <c r="CK145" s="816"/>
      <c r="CL145" s="816"/>
      <c r="CM145" s="816"/>
      <c r="CN145" s="816"/>
      <c r="CO145" s="816"/>
      <c r="CP145" s="816"/>
      <c r="CQ145" s="816"/>
      <c r="CR145" s="816"/>
      <c r="CS145" s="816"/>
      <c r="CT145" s="816"/>
      <c r="CU145" s="816"/>
      <c r="CV145" s="816"/>
      <c r="CW145" s="816"/>
      <c r="CX145" s="816"/>
      <c r="CY145" s="816"/>
      <c r="CZ145" s="816"/>
      <c r="DA145" s="816"/>
      <c r="DB145" s="816"/>
      <c r="DC145" s="816"/>
      <c r="DD145" s="816"/>
      <c r="DE145" s="816"/>
      <c r="DF145" s="816"/>
      <c r="DG145" s="816"/>
      <c r="DH145" s="816"/>
      <c r="DI145" s="816"/>
      <c r="DJ145" s="816"/>
      <c r="DK145" s="816"/>
      <c r="DL145" s="816"/>
      <c r="DM145" s="816"/>
      <c r="DN145" s="816"/>
      <c r="DO145" s="816"/>
      <c r="DP145" s="816"/>
      <c r="DQ145" s="816"/>
      <c r="DR145" s="816"/>
      <c r="DS145" s="816"/>
      <c r="DT145" s="816"/>
      <c r="DU145" s="816"/>
      <c r="DV145" s="816"/>
      <c r="DW145" s="816"/>
      <c r="DX145" s="816"/>
      <c r="DY145" s="816"/>
      <c r="DZ145" s="816"/>
      <c r="EA145" s="816"/>
      <c r="EB145" s="816"/>
      <c r="EC145" s="816"/>
      <c r="ED145" s="816"/>
      <c r="EE145" s="816"/>
      <c r="EF145" s="816"/>
      <c r="EG145" s="816"/>
      <c r="EH145" s="816"/>
      <c r="EI145" s="816"/>
    </row>
    <row r="146" spans="1:139" ht="57" x14ac:dyDescent="0.45">
      <c r="B146" s="1028" t="s">
        <v>901</v>
      </c>
      <c r="C146" s="785" t="s">
        <v>1013</v>
      </c>
      <c r="D146" s="769" t="s">
        <v>190</v>
      </c>
      <c r="E146" s="786" t="s">
        <v>75</v>
      </c>
      <c r="F146" s="849" t="s">
        <v>188</v>
      </c>
    </row>
    <row r="147" spans="1:139" ht="57" x14ac:dyDescent="0.45">
      <c r="B147" s="1028"/>
      <c r="C147" s="482" t="s">
        <v>1014</v>
      </c>
      <c r="D147" s="770" t="s">
        <v>191</v>
      </c>
      <c r="E147" s="425" t="s">
        <v>903</v>
      </c>
      <c r="F147" s="842" t="s">
        <v>188</v>
      </c>
      <c r="G147" s="1016"/>
      <c r="H147" s="1016"/>
      <c r="I147" s="1016"/>
      <c r="J147" s="1016"/>
      <c r="K147" s="1016"/>
      <c r="L147" s="1016"/>
      <c r="M147" s="1016"/>
      <c r="N147" s="1016"/>
    </row>
    <row r="148" spans="1:139" ht="57" x14ac:dyDescent="0.45">
      <c r="B148" s="1028" t="s">
        <v>902</v>
      </c>
      <c r="C148" s="482" t="s">
        <v>1015</v>
      </c>
      <c r="D148" s="770" t="s">
        <v>192</v>
      </c>
      <c r="E148" s="425" t="s">
        <v>904</v>
      </c>
      <c r="F148" s="842" t="s">
        <v>188</v>
      </c>
    </row>
    <row r="149" spans="1:139" ht="57" x14ac:dyDescent="0.45">
      <c r="B149" s="1028"/>
      <c r="C149" s="482" t="s">
        <v>1014</v>
      </c>
      <c r="D149" s="770" t="s">
        <v>193</v>
      </c>
      <c r="E149" s="425" t="s">
        <v>905</v>
      </c>
      <c r="F149" s="842" t="s">
        <v>188</v>
      </c>
    </row>
    <row r="150" spans="1:139" ht="57" x14ac:dyDescent="0.45">
      <c r="B150" s="1028" t="s">
        <v>28</v>
      </c>
      <c r="C150" s="483" t="s">
        <v>309</v>
      </c>
      <c r="D150" s="770" t="s">
        <v>194</v>
      </c>
      <c r="E150" s="425" t="s">
        <v>76</v>
      </c>
      <c r="F150" s="842" t="s">
        <v>188</v>
      </c>
    </row>
    <row r="151" spans="1:139" ht="57" x14ac:dyDescent="0.45">
      <c r="B151" s="1028"/>
      <c r="C151" s="483" t="s">
        <v>310</v>
      </c>
      <c r="D151" s="770" t="s">
        <v>195</v>
      </c>
      <c r="E151" s="425" t="s">
        <v>189</v>
      </c>
      <c r="F151" s="842" t="s">
        <v>188</v>
      </c>
    </row>
    <row r="152" spans="1:139" ht="57" x14ac:dyDescent="0.45">
      <c r="B152" s="1028" t="s">
        <v>29</v>
      </c>
      <c r="C152" s="483" t="s">
        <v>309</v>
      </c>
      <c r="D152" s="770" t="s">
        <v>196</v>
      </c>
      <c r="E152" s="425" t="s">
        <v>77</v>
      </c>
      <c r="F152" s="842" t="s">
        <v>188</v>
      </c>
    </row>
    <row r="153" spans="1:139" ht="57" x14ac:dyDescent="0.45">
      <c r="B153" s="1028"/>
      <c r="C153" s="434" t="s">
        <v>1016</v>
      </c>
      <c r="D153" s="770" t="s">
        <v>197</v>
      </c>
      <c r="E153" s="425" t="s">
        <v>189</v>
      </c>
      <c r="F153" s="842" t="s">
        <v>188</v>
      </c>
    </row>
    <row r="154" spans="1:139" ht="57" x14ac:dyDescent="0.45">
      <c r="B154" s="1028" t="s">
        <v>30</v>
      </c>
      <c r="C154" s="434" t="s">
        <v>309</v>
      </c>
      <c r="D154" s="770" t="s">
        <v>198</v>
      </c>
      <c r="E154" s="425" t="s">
        <v>78</v>
      </c>
      <c r="F154" s="842" t="s">
        <v>188</v>
      </c>
    </row>
    <row r="155" spans="1:139" ht="57" x14ac:dyDescent="0.45">
      <c r="B155" s="1028"/>
      <c r="C155" s="483" t="s">
        <v>1017</v>
      </c>
      <c r="D155" s="770" t="s">
        <v>199</v>
      </c>
      <c r="E155" s="425" t="s">
        <v>189</v>
      </c>
      <c r="F155" s="842" t="s">
        <v>188</v>
      </c>
    </row>
    <row r="156" spans="1:139" ht="57" x14ac:dyDescent="0.45">
      <c r="B156" s="1028" t="s">
        <v>31</v>
      </c>
      <c r="C156" s="483" t="s">
        <v>309</v>
      </c>
      <c r="D156" s="770" t="s">
        <v>200</v>
      </c>
      <c r="E156" s="425" t="s">
        <v>79</v>
      </c>
      <c r="F156" s="842" t="s">
        <v>188</v>
      </c>
    </row>
    <row r="157" spans="1:139" ht="57" x14ac:dyDescent="0.45">
      <c r="B157" s="1028"/>
      <c r="C157" s="483" t="s">
        <v>311</v>
      </c>
      <c r="D157" s="770" t="s">
        <v>201</v>
      </c>
      <c r="E157" s="425" t="s">
        <v>189</v>
      </c>
      <c r="F157" s="842" t="s">
        <v>188</v>
      </c>
    </row>
    <row r="158" spans="1:139" s="18" customFormat="1" ht="33.4" customHeight="1" x14ac:dyDescent="0.4">
      <c r="B158" s="1056" t="s">
        <v>1243</v>
      </c>
      <c r="C158" s="1057"/>
      <c r="D158" s="1057"/>
      <c r="E158" s="1057"/>
      <c r="F158" s="1058"/>
      <c r="G158" s="829"/>
      <c r="H158" s="829"/>
      <c r="I158" s="829"/>
      <c r="J158" s="829"/>
      <c r="K158" s="829"/>
      <c r="L158" s="829"/>
      <c r="M158" s="829"/>
      <c r="N158" s="829"/>
      <c r="O158" s="829"/>
      <c r="P158" s="829"/>
      <c r="Q158" s="829"/>
      <c r="R158" s="829"/>
      <c r="S158" s="829"/>
      <c r="T158" s="829"/>
      <c r="U158" s="829"/>
      <c r="V158" s="829"/>
      <c r="W158" s="829"/>
      <c r="X158" s="829"/>
      <c r="Y158" s="829"/>
      <c r="Z158" s="829"/>
      <c r="AA158" s="829"/>
      <c r="AB158" s="829"/>
      <c r="AC158" s="829"/>
      <c r="AD158" s="829"/>
      <c r="AE158" s="829"/>
      <c r="AF158" s="829"/>
      <c r="AG158" s="829"/>
      <c r="AH158" s="829"/>
      <c r="AI158" s="829"/>
      <c r="AJ158" s="829"/>
      <c r="AK158" s="829"/>
      <c r="AL158" s="829"/>
      <c r="AM158" s="829"/>
      <c r="AN158" s="829"/>
      <c r="AO158" s="469">
        <v>97</v>
      </c>
      <c r="AP158" s="74"/>
      <c r="AQ158" s="830"/>
      <c r="AR158" s="831"/>
      <c r="AS158" s="831"/>
      <c r="AT158" s="831"/>
      <c r="AU158" s="831"/>
      <c r="AV158" s="831"/>
      <c r="AW158" s="831"/>
      <c r="AX158" s="831"/>
      <c r="AY158" s="831"/>
      <c r="AZ158" s="831"/>
      <c r="BA158" s="831"/>
      <c r="BB158" s="831"/>
      <c r="BC158" s="831"/>
      <c r="BD158" s="831"/>
      <c r="BE158" s="831"/>
      <c r="BF158" s="831"/>
      <c r="BG158" s="831"/>
      <c r="BH158" s="831"/>
      <c r="BI158" s="831"/>
      <c r="BJ158" s="831"/>
      <c r="BK158" s="831"/>
      <c r="BL158" s="831"/>
      <c r="BM158" s="831"/>
      <c r="BN158" s="831"/>
      <c r="BO158" s="831"/>
      <c r="BP158" s="831"/>
      <c r="BQ158" s="831"/>
      <c r="BR158" s="831"/>
      <c r="BS158" s="831"/>
      <c r="BT158" s="831"/>
      <c r="BU158" s="831"/>
      <c r="BV158" s="831"/>
      <c r="BW158" s="831"/>
      <c r="BX158" s="831"/>
      <c r="BY158" s="831"/>
      <c r="BZ158" s="831"/>
      <c r="CA158" s="831"/>
      <c r="CB158" s="831"/>
      <c r="CC158" s="831"/>
      <c r="CD158" s="831"/>
      <c r="CE158" s="831"/>
      <c r="CF158" s="831"/>
      <c r="CG158" s="831"/>
      <c r="CH158" s="831"/>
      <c r="CI158" s="831"/>
      <c r="CJ158" s="831"/>
      <c r="CK158" s="831"/>
      <c r="CL158" s="831"/>
      <c r="CM158" s="831"/>
      <c r="CN158" s="831"/>
      <c r="CO158" s="831"/>
      <c r="CP158" s="831"/>
      <c r="CQ158" s="831"/>
      <c r="CR158" s="831"/>
      <c r="CS158" s="831"/>
      <c r="CT158" s="831"/>
      <c r="CU158" s="831"/>
      <c r="CV158" s="831"/>
      <c r="CW158" s="831"/>
      <c r="CX158" s="831"/>
      <c r="CY158" s="831"/>
      <c r="CZ158" s="831"/>
      <c r="DA158" s="831"/>
      <c r="DB158" s="831"/>
      <c r="DC158" s="831"/>
      <c r="DD158" s="831"/>
      <c r="DE158" s="831"/>
      <c r="DF158" s="831"/>
      <c r="DG158" s="831"/>
      <c r="DH158" s="831"/>
      <c r="DI158" s="831"/>
      <c r="DJ158" s="831"/>
      <c r="DK158" s="831"/>
      <c r="DL158" s="831"/>
      <c r="DM158" s="831"/>
      <c r="DN158" s="831"/>
      <c r="DO158" s="831"/>
      <c r="DP158" s="831"/>
      <c r="DQ158" s="831"/>
      <c r="DR158" s="831"/>
      <c r="DS158" s="831"/>
      <c r="DT158" s="831"/>
      <c r="DU158" s="831"/>
      <c r="DV158" s="831"/>
      <c r="DW158" s="831"/>
      <c r="DX158" s="831"/>
      <c r="DY158" s="831"/>
      <c r="DZ158" s="831"/>
      <c r="EA158" s="831"/>
      <c r="EB158" s="831"/>
      <c r="EC158" s="831"/>
      <c r="ED158" s="831"/>
      <c r="EE158" s="831"/>
      <c r="EF158" s="831"/>
      <c r="EG158" s="831"/>
      <c r="EH158" s="831"/>
      <c r="EI158" s="831"/>
    </row>
    <row r="159" spans="1:139" s="787" customFormat="1" x14ac:dyDescent="0.45">
      <c r="A159" s="818"/>
      <c r="B159" s="850" t="s">
        <v>1242</v>
      </c>
      <c r="C159" s="817" t="s">
        <v>1204</v>
      </c>
      <c r="D159" s="821" t="s">
        <v>1209</v>
      </c>
      <c r="E159" s="425"/>
      <c r="F159" s="851"/>
      <c r="G159" s="816"/>
      <c r="H159" s="816"/>
      <c r="I159" s="816"/>
      <c r="J159" s="816"/>
      <c r="K159" s="816"/>
      <c r="L159" s="816"/>
      <c r="M159" s="816"/>
      <c r="N159" s="816"/>
      <c r="O159" s="816"/>
      <c r="P159" s="816"/>
      <c r="Q159" s="816"/>
      <c r="R159" s="816"/>
      <c r="S159" s="816"/>
      <c r="T159" s="816"/>
      <c r="U159" s="816"/>
      <c r="V159" s="816"/>
      <c r="W159" s="816"/>
      <c r="X159" s="816"/>
      <c r="Y159" s="816"/>
      <c r="Z159" s="816"/>
      <c r="AA159" s="816"/>
      <c r="AB159" s="816"/>
      <c r="AC159" s="816"/>
      <c r="AD159" s="816"/>
      <c r="AE159" s="816"/>
      <c r="AF159" s="816"/>
      <c r="AG159" s="816"/>
      <c r="AH159" s="816"/>
      <c r="AI159" s="816"/>
      <c r="AJ159" s="816"/>
      <c r="AK159" s="816"/>
      <c r="AL159" s="816"/>
      <c r="AM159" s="816"/>
      <c r="AN159" s="816"/>
      <c r="AO159" s="816"/>
      <c r="AP159" s="816"/>
      <c r="AQ159" s="816"/>
      <c r="AR159" s="816"/>
      <c r="AS159" s="816"/>
      <c r="AT159" s="816"/>
      <c r="AU159" s="816"/>
      <c r="AV159" s="816"/>
      <c r="AW159" s="816"/>
      <c r="AX159" s="816"/>
      <c r="AY159" s="816"/>
      <c r="AZ159" s="816"/>
      <c r="BA159" s="816"/>
      <c r="BB159" s="816"/>
      <c r="BC159" s="816"/>
      <c r="BD159" s="816"/>
      <c r="BE159" s="816"/>
      <c r="BF159" s="816"/>
      <c r="BG159" s="816"/>
      <c r="BH159" s="816"/>
      <c r="BI159" s="816"/>
      <c r="BJ159" s="816"/>
      <c r="BK159" s="816"/>
      <c r="BL159" s="816"/>
      <c r="BM159" s="816"/>
      <c r="BN159" s="816"/>
      <c r="BO159" s="816"/>
      <c r="BP159" s="816"/>
      <c r="BQ159" s="816"/>
      <c r="BR159" s="816"/>
      <c r="BS159" s="816"/>
      <c r="BT159" s="816"/>
      <c r="BU159" s="816"/>
      <c r="BV159" s="816"/>
      <c r="BW159" s="816"/>
      <c r="BX159" s="816"/>
      <c r="BY159" s="816"/>
      <c r="BZ159" s="816"/>
      <c r="CA159" s="816"/>
      <c r="CB159" s="816"/>
      <c r="CC159" s="816"/>
      <c r="CD159" s="816"/>
      <c r="CE159" s="816"/>
      <c r="CF159" s="816"/>
      <c r="CG159" s="816"/>
      <c r="CH159" s="816"/>
      <c r="CI159" s="816"/>
      <c r="CJ159" s="816"/>
      <c r="CK159" s="816"/>
      <c r="CL159" s="816"/>
      <c r="CM159" s="816"/>
      <c r="CN159" s="816"/>
      <c r="CO159" s="816"/>
      <c r="CP159" s="816"/>
      <c r="CQ159" s="816"/>
      <c r="CR159" s="816"/>
      <c r="CS159" s="816"/>
      <c r="CT159" s="816"/>
      <c r="CU159" s="816"/>
      <c r="CV159" s="816"/>
      <c r="CW159" s="816"/>
      <c r="CX159" s="816"/>
      <c r="CY159" s="816"/>
      <c r="CZ159" s="816"/>
      <c r="DA159" s="816"/>
      <c r="DB159" s="816"/>
      <c r="DC159" s="816"/>
      <c r="DD159" s="816"/>
      <c r="DE159" s="816"/>
      <c r="DF159" s="816"/>
      <c r="DG159" s="816"/>
      <c r="DH159" s="816"/>
      <c r="DI159" s="816"/>
      <c r="DJ159" s="816"/>
      <c r="DK159" s="816"/>
      <c r="DL159" s="816"/>
      <c r="DM159" s="816"/>
      <c r="DN159" s="816"/>
      <c r="DO159" s="816"/>
      <c r="DP159" s="816"/>
      <c r="DQ159" s="816"/>
      <c r="DR159" s="816"/>
      <c r="DS159" s="816"/>
      <c r="DT159" s="816"/>
      <c r="DU159" s="816"/>
      <c r="DV159" s="816"/>
      <c r="DW159" s="816"/>
      <c r="DX159" s="816"/>
      <c r="DY159" s="816"/>
      <c r="DZ159" s="816"/>
      <c r="EA159" s="816"/>
      <c r="EB159" s="816"/>
      <c r="EC159" s="816"/>
      <c r="ED159" s="816"/>
      <c r="EE159" s="816"/>
      <c r="EF159" s="816"/>
      <c r="EG159" s="816"/>
      <c r="EH159" s="816"/>
      <c r="EI159" s="816"/>
    </row>
    <row r="160" spans="1:139" s="816" customFormat="1" x14ac:dyDescent="0.45">
      <c r="B160" s="1107" t="s">
        <v>1221</v>
      </c>
      <c r="C160" s="819" t="s">
        <v>1205</v>
      </c>
      <c r="D160" s="821" t="s">
        <v>1223</v>
      </c>
      <c r="E160" s="425"/>
      <c r="F160" s="851"/>
    </row>
    <row r="161" spans="2:6" s="816" customFormat="1" x14ac:dyDescent="0.45">
      <c r="B161" s="1107"/>
      <c r="C161" s="819" t="s">
        <v>1206</v>
      </c>
      <c r="D161" s="821" t="s">
        <v>1224</v>
      </c>
      <c r="E161" s="425"/>
      <c r="F161" s="851"/>
    </row>
    <row r="162" spans="2:6" s="816" customFormat="1" x14ac:dyDescent="0.45">
      <c r="B162" s="1107" t="s">
        <v>1222</v>
      </c>
      <c r="C162" s="819" t="s">
        <v>1207</v>
      </c>
      <c r="D162" s="821" t="s">
        <v>1225</v>
      </c>
      <c r="E162" s="425"/>
      <c r="F162" s="851"/>
    </row>
    <row r="163" spans="2:6" s="816" customFormat="1" x14ac:dyDescent="0.45">
      <c r="B163" s="1107"/>
      <c r="C163" s="819" t="s">
        <v>1206</v>
      </c>
      <c r="D163" s="821" t="s">
        <v>1226</v>
      </c>
      <c r="E163" s="425"/>
      <c r="F163" s="851"/>
    </row>
    <row r="164" spans="2:6" ht="28.5" customHeight="1" x14ac:dyDescent="0.45">
      <c r="B164" s="1108" t="s">
        <v>1236</v>
      </c>
      <c r="C164" s="820" t="s">
        <v>630</v>
      </c>
      <c r="D164" s="821" t="s">
        <v>1227</v>
      </c>
      <c r="E164" s="425"/>
      <c r="F164" s="851"/>
    </row>
    <row r="165" spans="2:6" x14ac:dyDescent="0.45">
      <c r="B165" s="1108"/>
      <c r="C165" s="820" t="s">
        <v>631</v>
      </c>
      <c r="D165" s="821" t="s">
        <v>1228</v>
      </c>
      <c r="E165" s="425"/>
      <c r="F165" s="851"/>
    </row>
    <row r="166" spans="2:6" x14ac:dyDescent="0.45">
      <c r="B166" s="1108" t="s">
        <v>1235</v>
      </c>
      <c r="C166" s="820" t="s">
        <v>630</v>
      </c>
      <c r="D166" s="821" t="s">
        <v>1229</v>
      </c>
      <c r="E166" s="425"/>
      <c r="F166" s="851"/>
    </row>
    <row r="167" spans="2:6" ht="57" customHeight="1" x14ac:dyDescent="0.45">
      <c r="B167" s="1108"/>
      <c r="C167" s="820" t="s">
        <v>631</v>
      </c>
      <c r="D167" s="821" t="s">
        <v>1230</v>
      </c>
      <c r="E167" s="425"/>
      <c r="F167" s="851"/>
    </row>
    <row r="168" spans="2:6" ht="85.5" customHeight="1" x14ac:dyDescent="0.45">
      <c r="B168" s="1108" t="s">
        <v>1237</v>
      </c>
      <c r="C168" s="820" t="s">
        <v>630</v>
      </c>
      <c r="D168" s="821" t="s">
        <v>1231</v>
      </c>
      <c r="E168" s="425"/>
      <c r="F168" s="851"/>
    </row>
    <row r="169" spans="2:6" x14ac:dyDescent="0.45">
      <c r="B169" s="1108"/>
      <c r="C169" s="820" t="s">
        <v>631</v>
      </c>
      <c r="D169" s="821" t="s">
        <v>1232</v>
      </c>
      <c r="E169" s="425"/>
      <c r="F169" s="851"/>
    </row>
    <row r="170" spans="2:6" ht="85.5" customHeight="1" x14ac:dyDescent="0.45">
      <c r="B170" s="1108" t="s">
        <v>1238</v>
      </c>
      <c r="C170" s="820" t="s">
        <v>630</v>
      </c>
      <c r="D170" s="821" t="s">
        <v>1233</v>
      </c>
      <c r="E170" s="425"/>
      <c r="F170" s="851"/>
    </row>
    <row r="171" spans="2:6" x14ac:dyDescent="0.45">
      <c r="B171" s="1108"/>
      <c r="C171" s="820" t="s">
        <v>631</v>
      </c>
      <c r="D171" s="821" t="s">
        <v>1234</v>
      </c>
      <c r="E171" s="425"/>
      <c r="F171" s="851"/>
    </row>
    <row r="172" spans="2:6" x14ac:dyDescent="0.45">
      <c r="B172" s="1059" t="s">
        <v>113</v>
      </c>
      <c r="C172" s="1060"/>
      <c r="D172" s="1060"/>
      <c r="E172" s="1060"/>
      <c r="F172" s="1061"/>
    </row>
    <row r="173" spans="2:6" ht="57" x14ac:dyDescent="0.45">
      <c r="B173" s="1028" t="s">
        <v>32</v>
      </c>
      <c r="C173" s="482" t="s">
        <v>1018</v>
      </c>
      <c r="D173" s="770" t="s">
        <v>332</v>
      </c>
      <c r="E173" s="425" t="s">
        <v>49</v>
      </c>
      <c r="F173" s="842" t="s">
        <v>204</v>
      </c>
    </row>
    <row r="174" spans="2:6" ht="57" x14ac:dyDescent="0.45">
      <c r="B174" s="1028"/>
      <c r="C174" s="482" t="s">
        <v>203</v>
      </c>
      <c r="D174" s="770" t="s">
        <v>202</v>
      </c>
      <c r="E174" s="425" t="s">
        <v>51</v>
      </c>
      <c r="F174" s="842" t="s">
        <v>205</v>
      </c>
    </row>
    <row r="175" spans="2:6" x14ac:dyDescent="0.45">
      <c r="B175" s="1028"/>
      <c r="C175" s="435" t="s">
        <v>940</v>
      </c>
      <c r="D175" s="777" t="s">
        <v>937</v>
      </c>
      <c r="E175" s="425"/>
      <c r="F175" s="842"/>
    </row>
    <row r="176" spans="2:6" ht="57" x14ac:dyDescent="0.45">
      <c r="B176" s="1028"/>
      <c r="C176" s="482" t="s">
        <v>1019</v>
      </c>
      <c r="D176" s="770" t="s">
        <v>333</v>
      </c>
      <c r="E176" s="425" t="s">
        <v>50</v>
      </c>
      <c r="F176" s="842" t="s">
        <v>206</v>
      </c>
    </row>
    <row r="177" spans="2:139" x14ac:dyDescent="0.45">
      <c r="B177" s="1028"/>
      <c r="C177" s="482" t="s">
        <v>1020</v>
      </c>
      <c r="D177" s="770" t="s">
        <v>207</v>
      </c>
      <c r="E177" s="425" t="s">
        <v>52</v>
      </c>
      <c r="F177" s="842" t="s">
        <v>210</v>
      </c>
    </row>
    <row r="178" spans="2:139" ht="57" x14ac:dyDescent="0.45">
      <c r="B178" s="1028"/>
      <c r="C178" s="482" t="s">
        <v>1021</v>
      </c>
      <c r="D178" s="770" t="s">
        <v>208</v>
      </c>
      <c r="E178" s="425" t="s">
        <v>53</v>
      </c>
      <c r="F178" s="842" t="s">
        <v>211</v>
      </c>
    </row>
    <row r="179" spans="2:139" ht="85.5" x14ac:dyDescent="0.45">
      <c r="B179" s="1028"/>
      <c r="C179" s="482" t="s">
        <v>1022</v>
      </c>
      <c r="D179" s="770" t="s">
        <v>209</v>
      </c>
      <c r="E179" s="425" t="s">
        <v>54</v>
      </c>
      <c r="F179" s="842" t="s">
        <v>211</v>
      </c>
    </row>
    <row r="180" spans="2:139" ht="57" x14ac:dyDescent="0.45">
      <c r="B180" s="1028" t="s">
        <v>442</v>
      </c>
      <c r="C180" s="482" t="s">
        <v>215</v>
      </c>
      <c r="D180" s="770" t="s">
        <v>334</v>
      </c>
      <c r="E180" s="425" t="s">
        <v>49</v>
      </c>
      <c r="F180" s="842" t="s">
        <v>212</v>
      </c>
    </row>
    <row r="181" spans="2:139" ht="57" x14ac:dyDescent="0.45">
      <c r="B181" s="1028"/>
      <c r="C181" s="482" t="s">
        <v>1023</v>
      </c>
      <c r="D181" s="770" t="s">
        <v>335</v>
      </c>
      <c r="E181" s="425" t="s">
        <v>51</v>
      </c>
      <c r="F181" s="842" t="s">
        <v>213</v>
      </c>
    </row>
    <row r="182" spans="2:139" ht="57" x14ac:dyDescent="0.45">
      <c r="B182" s="1028"/>
      <c r="C182" s="482" t="s">
        <v>216</v>
      </c>
      <c r="D182" s="770" t="s">
        <v>217</v>
      </c>
      <c r="E182" s="425" t="s">
        <v>50</v>
      </c>
      <c r="F182" s="842" t="s">
        <v>214</v>
      </c>
    </row>
    <row r="183" spans="2:139" hidden="1" x14ac:dyDescent="0.45">
      <c r="B183" s="1028"/>
      <c r="C183" s="435" t="s">
        <v>940</v>
      </c>
      <c r="D183" s="777" t="s">
        <v>937</v>
      </c>
      <c r="E183" s="425"/>
      <c r="F183" s="842"/>
    </row>
    <row r="184" spans="2:139" hidden="1" x14ac:dyDescent="0.45">
      <c r="B184" s="1028"/>
      <c r="C184" s="432" t="s">
        <v>312</v>
      </c>
      <c r="D184" s="770" t="s">
        <v>218</v>
      </c>
      <c r="E184" s="425" t="s">
        <v>52</v>
      </c>
      <c r="F184" s="842" t="s">
        <v>221</v>
      </c>
    </row>
    <row r="185" spans="2:139" ht="57" hidden="1" x14ac:dyDescent="0.45">
      <c r="B185" s="1028"/>
      <c r="C185" s="432" t="s">
        <v>1021</v>
      </c>
      <c r="D185" s="770" t="s">
        <v>336</v>
      </c>
      <c r="E185" s="425" t="s">
        <v>53</v>
      </c>
      <c r="F185" s="842" t="s">
        <v>222</v>
      </c>
    </row>
    <row r="186" spans="2:139" ht="85.5" hidden="1" x14ac:dyDescent="0.45">
      <c r="B186" s="1028"/>
      <c r="C186" s="482" t="s">
        <v>219</v>
      </c>
      <c r="D186" s="770" t="s">
        <v>220</v>
      </c>
      <c r="E186" s="425" t="s">
        <v>54</v>
      </c>
      <c r="F186" s="842" t="s">
        <v>222</v>
      </c>
    </row>
    <row r="187" spans="2:139" s="436" customFormat="1" ht="57" hidden="1" x14ac:dyDescent="0.45">
      <c r="B187" s="1028" t="s">
        <v>25</v>
      </c>
      <c r="C187" s="482" t="s">
        <v>1024</v>
      </c>
      <c r="D187" s="770" t="s">
        <v>337</v>
      </c>
      <c r="E187" s="425" t="s">
        <v>49</v>
      </c>
      <c r="F187" s="842" t="s">
        <v>223</v>
      </c>
      <c r="G187" s="832"/>
      <c r="H187" s="832"/>
      <c r="I187" s="832"/>
      <c r="J187" s="832"/>
      <c r="K187" s="832"/>
      <c r="L187" s="832"/>
      <c r="M187" s="832"/>
      <c r="N187" s="832"/>
      <c r="O187" s="832"/>
      <c r="P187" s="832"/>
      <c r="Q187" s="832"/>
      <c r="R187" s="832"/>
      <c r="S187" s="832"/>
      <c r="T187" s="832"/>
      <c r="U187" s="832"/>
      <c r="V187" s="832"/>
      <c r="W187" s="832"/>
      <c r="X187" s="832"/>
      <c r="Y187" s="832"/>
      <c r="Z187" s="832"/>
      <c r="AA187" s="832"/>
      <c r="AB187" s="832"/>
      <c r="AC187" s="832"/>
      <c r="AD187" s="832"/>
      <c r="AE187" s="832"/>
      <c r="AF187" s="832"/>
      <c r="AG187" s="832"/>
      <c r="AH187" s="832"/>
      <c r="AI187" s="832"/>
      <c r="AJ187" s="832"/>
      <c r="AK187" s="832"/>
      <c r="AL187" s="832"/>
      <c r="AM187" s="832"/>
      <c r="AN187" s="832"/>
      <c r="AO187" s="832"/>
      <c r="AP187" s="832"/>
      <c r="AQ187" s="832"/>
      <c r="AR187" s="832"/>
      <c r="AS187" s="832"/>
      <c r="AT187" s="832"/>
      <c r="AU187" s="832"/>
      <c r="AV187" s="832"/>
      <c r="AW187" s="832"/>
      <c r="AX187" s="832"/>
      <c r="AY187" s="832"/>
      <c r="AZ187" s="832"/>
      <c r="BA187" s="832"/>
      <c r="BB187" s="832"/>
      <c r="BC187" s="832"/>
      <c r="BD187" s="832"/>
      <c r="BE187" s="832"/>
      <c r="BF187" s="832"/>
      <c r="BG187" s="832"/>
      <c r="BH187" s="832"/>
      <c r="BI187" s="832"/>
      <c r="BJ187" s="832"/>
      <c r="BK187" s="832"/>
      <c r="BL187" s="832"/>
      <c r="BM187" s="832"/>
      <c r="BN187" s="832"/>
      <c r="BO187" s="832"/>
      <c r="BP187" s="832"/>
      <c r="BQ187" s="832"/>
      <c r="BR187" s="832"/>
      <c r="BS187" s="832"/>
      <c r="BT187" s="832"/>
      <c r="BU187" s="832"/>
      <c r="BV187" s="832"/>
      <c r="BW187" s="832"/>
      <c r="BX187" s="832"/>
      <c r="BY187" s="832"/>
      <c r="BZ187" s="832"/>
      <c r="CA187" s="832"/>
      <c r="CB187" s="832"/>
      <c r="CC187" s="832"/>
      <c r="CD187" s="832"/>
      <c r="CE187" s="832"/>
      <c r="CF187" s="832"/>
      <c r="CG187" s="832"/>
      <c r="CH187" s="832"/>
      <c r="CI187" s="832"/>
      <c r="CJ187" s="832"/>
      <c r="CK187" s="832"/>
      <c r="CL187" s="832"/>
      <c r="CM187" s="832"/>
      <c r="CN187" s="832"/>
      <c r="CO187" s="832"/>
      <c r="CP187" s="832"/>
      <c r="CQ187" s="832"/>
      <c r="CR187" s="832"/>
      <c r="CS187" s="832"/>
      <c r="CT187" s="832"/>
      <c r="CU187" s="832"/>
      <c r="CV187" s="832"/>
      <c r="CW187" s="832"/>
      <c r="CX187" s="832"/>
      <c r="CY187" s="832"/>
      <c r="CZ187" s="832"/>
      <c r="DA187" s="832"/>
      <c r="DB187" s="832"/>
      <c r="DC187" s="832"/>
      <c r="DD187" s="832"/>
      <c r="DE187" s="832"/>
      <c r="DF187" s="832"/>
      <c r="DG187" s="832"/>
      <c r="DH187" s="832"/>
      <c r="DI187" s="832"/>
      <c r="DJ187" s="832"/>
      <c r="DK187" s="832"/>
      <c r="DL187" s="832"/>
      <c r="DM187" s="832"/>
      <c r="DN187" s="832"/>
      <c r="DO187" s="832"/>
      <c r="DP187" s="832"/>
      <c r="DQ187" s="832"/>
      <c r="DR187" s="832"/>
      <c r="DS187" s="832"/>
      <c r="DT187" s="832"/>
      <c r="DU187" s="832"/>
      <c r="DV187" s="832"/>
      <c r="DW187" s="832"/>
      <c r="DX187" s="832"/>
      <c r="DY187" s="832"/>
      <c r="DZ187" s="832"/>
      <c r="EA187" s="832"/>
      <c r="EB187" s="832"/>
      <c r="EC187" s="832"/>
      <c r="ED187" s="832"/>
      <c r="EE187" s="832"/>
      <c r="EF187" s="832"/>
      <c r="EG187" s="832"/>
      <c r="EH187" s="832"/>
      <c r="EI187" s="832"/>
    </row>
    <row r="188" spans="2:139" ht="57" hidden="1" x14ac:dyDescent="0.45">
      <c r="B188" s="1028"/>
      <c r="C188" s="432" t="s">
        <v>203</v>
      </c>
      <c r="D188" s="770" t="s">
        <v>338</v>
      </c>
      <c r="E188" s="425" t="s">
        <v>51</v>
      </c>
      <c r="F188" s="842" t="s">
        <v>224</v>
      </c>
    </row>
    <row r="189" spans="2:139" ht="57" hidden="1" x14ac:dyDescent="0.45">
      <c r="B189" s="1028"/>
      <c r="C189" s="482" t="s">
        <v>216</v>
      </c>
      <c r="D189" s="770" t="s">
        <v>339</v>
      </c>
      <c r="E189" s="425" t="s">
        <v>50</v>
      </c>
      <c r="F189" s="842" t="s">
        <v>225</v>
      </c>
    </row>
    <row r="190" spans="2:139" hidden="1" x14ac:dyDescent="0.45">
      <c r="B190" s="1028"/>
      <c r="C190" s="435" t="s">
        <v>940</v>
      </c>
      <c r="D190" s="777" t="s">
        <v>937</v>
      </c>
      <c r="E190" s="425"/>
      <c r="F190" s="842"/>
    </row>
    <row r="191" spans="2:139" hidden="1" x14ac:dyDescent="0.45">
      <c r="B191" s="1028"/>
      <c r="C191" s="482" t="s">
        <v>1020</v>
      </c>
      <c r="D191" s="770" t="s">
        <v>228</v>
      </c>
      <c r="E191" s="425" t="s">
        <v>52</v>
      </c>
      <c r="F191" s="842" t="s">
        <v>227</v>
      </c>
    </row>
    <row r="192" spans="2:139" ht="57" hidden="1" x14ac:dyDescent="0.45">
      <c r="B192" s="1028"/>
      <c r="C192" s="482" t="s">
        <v>1021</v>
      </c>
      <c r="D192" s="770" t="s">
        <v>340</v>
      </c>
      <c r="E192" s="425" t="s">
        <v>53</v>
      </c>
      <c r="F192" s="842" t="s">
        <v>226</v>
      </c>
    </row>
    <row r="193" spans="2:6" ht="85.5" hidden="1" x14ac:dyDescent="0.45">
      <c r="B193" s="1028"/>
      <c r="C193" s="482" t="s">
        <v>219</v>
      </c>
      <c r="D193" s="770" t="s">
        <v>341</v>
      </c>
      <c r="E193" s="425" t="s">
        <v>54</v>
      </c>
      <c r="F193" s="842" t="s">
        <v>226</v>
      </c>
    </row>
    <row r="194" spans="2:6" hidden="1" x14ac:dyDescent="0.45">
      <c r="B194" s="1053" t="s">
        <v>114</v>
      </c>
      <c r="C194" s="1054"/>
      <c r="D194" s="1054"/>
      <c r="E194" s="1054"/>
      <c r="F194" s="1055"/>
    </row>
    <row r="195" spans="2:6" hidden="1" x14ac:dyDescent="0.45">
      <c r="B195" s="1028" t="s">
        <v>816</v>
      </c>
      <c r="C195" s="482" t="s">
        <v>637</v>
      </c>
      <c r="D195" s="778" t="s">
        <v>493</v>
      </c>
      <c r="E195" s="425" t="s">
        <v>674</v>
      </c>
      <c r="F195" s="852" t="s">
        <v>693</v>
      </c>
    </row>
    <row r="196" spans="2:6" hidden="1" x14ac:dyDescent="0.45">
      <c r="B196" s="1028"/>
      <c r="C196" s="482" t="s">
        <v>855</v>
      </c>
      <c r="D196" s="778" t="s">
        <v>494</v>
      </c>
      <c r="E196" s="425" t="s">
        <v>694</v>
      </c>
      <c r="F196" s="853" t="s">
        <v>695</v>
      </c>
    </row>
    <row r="197" spans="2:6" hidden="1" x14ac:dyDescent="0.45">
      <c r="B197" s="1028"/>
      <c r="C197" s="431" t="s">
        <v>859</v>
      </c>
      <c r="D197" s="778" t="s">
        <v>820</v>
      </c>
      <c r="E197" s="425" t="s">
        <v>870</v>
      </c>
      <c r="F197" s="853" t="s">
        <v>871</v>
      </c>
    </row>
    <row r="198" spans="2:6" hidden="1" x14ac:dyDescent="0.45">
      <c r="B198" s="1028"/>
      <c r="C198" s="482" t="s">
        <v>811</v>
      </c>
      <c r="D198" s="778" t="s">
        <v>821</v>
      </c>
      <c r="E198" s="425" t="s">
        <v>872</v>
      </c>
      <c r="F198" s="853" t="s">
        <v>871</v>
      </c>
    </row>
    <row r="199" spans="2:6" ht="57" hidden="1" x14ac:dyDescent="0.45">
      <c r="B199" s="1028"/>
      <c r="C199" s="482" t="s">
        <v>812</v>
      </c>
      <c r="D199" s="778" t="s">
        <v>822</v>
      </c>
      <c r="E199" s="425" t="s">
        <v>873</v>
      </c>
      <c r="F199" s="853" t="s">
        <v>874</v>
      </c>
    </row>
    <row r="200" spans="2:6" hidden="1" x14ac:dyDescent="0.45">
      <c r="B200" s="1028"/>
      <c r="C200" s="482" t="s">
        <v>813</v>
      </c>
      <c r="D200" s="778" t="s">
        <v>823</v>
      </c>
      <c r="E200" s="425" t="s">
        <v>875</v>
      </c>
      <c r="F200" s="853" t="s">
        <v>871</v>
      </c>
    </row>
    <row r="201" spans="2:6" ht="57" hidden="1" x14ac:dyDescent="0.45">
      <c r="B201" s="1028"/>
      <c r="C201" s="482" t="s">
        <v>814</v>
      </c>
      <c r="D201" s="778" t="s">
        <v>824</v>
      </c>
      <c r="E201" s="425" t="s">
        <v>876</v>
      </c>
      <c r="F201" s="853" t="s">
        <v>874</v>
      </c>
    </row>
    <row r="202" spans="2:6" ht="57" hidden="1" x14ac:dyDescent="0.45">
      <c r="B202" s="1028"/>
      <c r="C202" s="482" t="s">
        <v>815</v>
      </c>
      <c r="D202" s="778" t="s">
        <v>825</v>
      </c>
      <c r="E202" s="425" t="s">
        <v>877</v>
      </c>
      <c r="F202" s="853" t="s">
        <v>871</v>
      </c>
    </row>
    <row r="203" spans="2:6" hidden="1" x14ac:dyDescent="0.45">
      <c r="B203" s="1028"/>
      <c r="C203" s="482" t="s">
        <v>850</v>
      </c>
      <c r="D203" s="778" t="s">
        <v>826</v>
      </c>
      <c r="E203" s="425" t="s">
        <v>881</v>
      </c>
      <c r="F203" s="853" t="s">
        <v>871</v>
      </c>
    </row>
    <row r="204" spans="2:6" hidden="1" x14ac:dyDescent="0.45">
      <c r="B204" s="1028" t="s">
        <v>817</v>
      </c>
      <c r="C204" s="482" t="s">
        <v>861</v>
      </c>
      <c r="D204" s="778" t="s">
        <v>827</v>
      </c>
      <c r="E204" s="425" t="s">
        <v>878</v>
      </c>
      <c r="F204" s="853" t="s">
        <v>879</v>
      </c>
    </row>
    <row r="205" spans="2:6" hidden="1" x14ac:dyDescent="0.45">
      <c r="B205" s="1028"/>
      <c r="C205" s="482" t="s">
        <v>856</v>
      </c>
      <c r="D205" s="778" t="s">
        <v>828</v>
      </c>
      <c r="E205" s="425" t="s">
        <v>880</v>
      </c>
      <c r="F205" s="853" t="s">
        <v>695</v>
      </c>
    </row>
    <row r="206" spans="2:6" hidden="1" x14ac:dyDescent="0.45">
      <c r="B206" s="1028"/>
      <c r="C206" s="431" t="s">
        <v>864</v>
      </c>
      <c r="D206" s="778" t="s">
        <v>829</v>
      </c>
      <c r="E206" s="425" t="s">
        <v>870</v>
      </c>
      <c r="F206" s="853" t="s">
        <v>871</v>
      </c>
    </row>
    <row r="207" spans="2:6" hidden="1" x14ac:dyDescent="0.45">
      <c r="B207" s="1028"/>
      <c r="C207" s="482" t="s">
        <v>811</v>
      </c>
      <c r="D207" s="778" t="s">
        <v>830</v>
      </c>
      <c r="E207" s="425" t="s">
        <v>872</v>
      </c>
      <c r="F207" s="853" t="s">
        <v>871</v>
      </c>
    </row>
    <row r="208" spans="2:6" ht="57" hidden="1" x14ac:dyDescent="0.45">
      <c r="B208" s="1028"/>
      <c r="C208" s="482" t="s">
        <v>812</v>
      </c>
      <c r="D208" s="778" t="s">
        <v>831</v>
      </c>
      <c r="E208" s="425" t="s">
        <v>873</v>
      </c>
      <c r="F208" s="853" t="s">
        <v>874</v>
      </c>
    </row>
    <row r="209" spans="2:6" hidden="1" x14ac:dyDescent="0.45">
      <c r="B209" s="1028"/>
      <c r="C209" s="482" t="s">
        <v>813</v>
      </c>
      <c r="D209" s="778" t="s">
        <v>832</v>
      </c>
      <c r="E209" s="425" t="s">
        <v>875</v>
      </c>
      <c r="F209" s="853" t="s">
        <v>871</v>
      </c>
    </row>
    <row r="210" spans="2:6" ht="57" hidden="1" x14ac:dyDescent="0.45">
      <c r="B210" s="1028"/>
      <c r="C210" s="482" t="s">
        <v>814</v>
      </c>
      <c r="D210" s="778" t="s">
        <v>833</v>
      </c>
      <c r="E210" s="425" t="s">
        <v>876</v>
      </c>
      <c r="F210" s="853" t="s">
        <v>874</v>
      </c>
    </row>
    <row r="211" spans="2:6" ht="57" hidden="1" x14ac:dyDescent="0.45">
      <c r="B211" s="1028"/>
      <c r="C211" s="482" t="s">
        <v>815</v>
      </c>
      <c r="D211" s="778" t="s">
        <v>834</v>
      </c>
      <c r="E211" s="425" t="s">
        <v>877</v>
      </c>
      <c r="F211" s="853" t="s">
        <v>871</v>
      </c>
    </row>
    <row r="212" spans="2:6" hidden="1" x14ac:dyDescent="0.45">
      <c r="B212" s="1028"/>
      <c r="C212" s="482" t="s">
        <v>850</v>
      </c>
      <c r="D212" s="778" t="s">
        <v>835</v>
      </c>
      <c r="E212" s="425" t="s">
        <v>881</v>
      </c>
      <c r="F212" s="853" t="s">
        <v>871</v>
      </c>
    </row>
    <row r="213" spans="2:6" hidden="1" x14ac:dyDescent="0.45">
      <c r="B213" s="1028" t="s">
        <v>819</v>
      </c>
      <c r="C213" s="482" t="s">
        <v>862</v>
      </c>
      <c r="D213" s="778" t="s">
        <v>836</v>
      </c>
      <c r="E213" s="425" t="s">
        <v>882</v>
      </c>
      <c r="F213" s="853" t="s">
        <v>883</v>
      </c>
    </row>
    <row r="214" spans="2:6" hidden="1" x14ac:dyDescent="0.45">
      <c r="B214" s="1028"/>
      <c r="C214" s="482" t="s">
        <v>857</v>
      </c>
      <c r="D214" s="778" t="s">
        <v>837</v>
      </c>
      <c r="E214" s="425" t="s">
        <v>884</v>
      </c>
      <c r="F214" s="853" t="s">
        <v>695</v>
      </c>
    </row>
    <row r="215" spans="2:6" hidden="1" x14ac:dyDescent="0.45">
      <c r="B215" s="1028"/>
      <c r="C215" s="431" t="s">
        <v>865</v>
      </c>
      <c r="D215" s="778" t="s">
        <v>838</v>
      </c>
      <c r="E215" s="425" t="s">
        <v>870</v>
      </c>
      <c r="F215" s="853" t="s">
        <v>871</v>
      </c>
    </row>
    <row r="216" spans="2:6" hidden="1" x14ac:dyDescent="0.45">
      <c r="B216" s="1028"/>
      <c r="C216" s="482" t="s">
        <v>811</v>
      </c>
      <c r="D216" s="778" t="s">
        <v>839</v>
      </c>
      <c r="E216" s="425" t="s">
        <v>885</v>
      </c>
      <c r="F216" s="853" t="s">
        <v>871</v>
      </c>
    </row>
    <row r="217" spans="2:6" ht="57" hidden="1" x14ac:dyDescent="0.45">
      <c r="B217" s="1028"/>
      <c r="C217" s="482" t="s">
        <v>812</v>
      </c>
      <c r="D217" s="778" t="s">
        <v>840</v>
      </c>
      <c r="E217" s="425" t="s">
        <v>886</v>
      </c>
      <c r="F217" s="853" t="s">
        <v>874</v>
      </c>
    </row>
    <row r="218" spans="2:6" hidden="1" x14ac:dyDescent="0.45">
      <c r="B218" s="1028"/>
      <c r="C218" s="482" t="s">
        <v>813</v>
      </c>
      <c r="D218" s="778" t="s">
        <v>841</v>
      </c>
      <c r="E218" s="425" t="s">
        <v>887</v>
      </c>
      <c r="F218" s="853" t="s">
        <v>871</v>
      </c>
    </row>
    <row r="219" spans="2:6" ht="57" x14ac:dyDescent="0.45">
      <c r="B219" s="1028"/>
      <c r="C219" s="482" t="s">
        <v>814</v>
      </c>
      <c r="D219" s="778" t="s">
        <v>842</v>
      </c>
      <c r="E219" s="425" t="s">
        <v>888</v>
      </c>
      <c r="F219" s="853" t="s">
        <v>874</v>
      </c>
    </row>
    <row r="220" spans="2:6" ht="57" x14ac:dyDescent="0.45">
      <c r="B220" s="1028"/>
      <c r="C220" s="482" t="s">
        <v>815</v>
      </c>
      <c r="D220" s="778" t="s">
        <v>843</v>
      </c>
      <c r="E220" s="425" t="s">
        <v>877</v>
      </c>
      <c r="F220" s="853" t="s">
        <v>871</v>
      </c>
    </row>
    <row r="221" spans="2:6" x14ac:dyDescent="0.45">
      <c r="B221" s="1028"/>
      <c r="C221" s="482" t="s">
        <v>850</v>
      </c>
      <c r="D221" s="778" t="s">
        <v>844</v>
      </c>
      <c r="E221" s="425" t="s">
        <v>881</v>
      </c>
      <c r="F221" s="853" t="s">
        <v>871</v>
      </c>
    </row>
    <row r="222" spans="2:6" x14ac:dyDescent="0.45">
      <c r="B222" s="1028" t="s">
        <v>818</v>
      </c>
      <c r="C222" s="482" t="s">
        <v>863</v>
      </c>
      <c r="D222" s="778" t="s">
        <v>845</v>
      </c>
      <c r="E222" s="425" t="s">
        <v>674</v>
      </c>
      <c r="F222" s="853" t="s">
        <v>889</v>
      </c>
    </row>
    <row r="223" spans="2:6" x14ac:dyDescent="0.45">
      <c r="B223" s="1028"/>
      <c r="C223" s="482" t="s">
        <v>858</v>
      </c>
      <c r="D223" s="778" t="s">
        <v>846</v>
      </c>
      <c r="E223" s="425" t="s">
        <v>694</v>
      </c>
      <c r="F223" s="853" t="s">
        <v>695</v>
      </c>
    </row>
    <row r="224" spans="2:6" x14ac:dyDescent="0.45">
      <c r="B224" s="1028"/>
      <c r="C224" s="431" t="s">
        <v>866</v>
      </c>
      <c r="D224" s="778" t="s">
        <v>847</v>
      </c>
      <c r="E224" s="425" t="s">
        <v>870</v>
      </c>
      <c r="F224" s="853" t="s">
        <v>871</v>
      </c>
    </row>
    <row r="225" spans="2:6" x14ac:dyDescent="0.45">
      <c r="B225" s="1028"/>
      <c r="C225" s="482" t="s">
        <v>811</v>
      </c>
      <c r="D225" s="778" t="s">
        <v>848</v>
      </c>
      <c r="E225" s="425" t="s">
        <v>872</v>
      </c>
      <c r="F225" s="853" t="s">
        <v>871</v>
      </c>
    </row>
    <row r="226" spans="2:6" ht="57" x14ac:dyDescent="0.45">
      <c r="B226" s="1028"/>
      <c r="C226" s="482" t="s">
        <v>812</v>
      </c>
      <c r="D226" s="778" t="s">
        <v>849</v>
      </c>
      <c r="E226" s="425" t="s">
        <v>873</v>
      </c>
      <c r="F226" s="853" t="s">
        <v>874</v>
      </c>
    </row>
    <row r="227" spans="2:6" x14ac:dyDescent="0.45">
      <c r="B227" s="1028"/>
      <c r="C227" s="482" t="s">
        <v>813</v>
      </c>
      <c r="D227" s="778" t="s">
        <v>851</v>
      </c>
      <c r="E227" s="425" t="s">
        <v>875</v>
      </c>
      <c r="F227" s="853" t="s">
        <v>871</v>
      </c>
    </row>
    <row r="228" spans="2:6" ht="57" x14ac:dyDescent="0.45">
      <c r="B228" s="1028"/>
      <c r="C228" s="482" t="s">
        <v>814</v>
      </c>
      <c r="D228" s="778" t="s">
        <v>852</v>
      </c>
      <c r="E228" s="425" t="s">
        <v>876</v>
      </c>
      <c r="F228" s="853" t="s">
        <v>874</v>
      </c>
    </row>
    <row r="229" spans="2:6" ht="57" x14ac:dyDescent="0.45">
      <c r="B229" s="1028"/>
      <c r="C229" s="482" t="s">
        <v>815</v>
      </c>
      <c r="D229" s="778" t="s">
        <v>853</v>
      </c>
      <c r="E229" s="425" t="s">
        <v>877</v>
      </c>
      <c r="F229" s="853" t="s">
        <v>871</v>
      </c>
    </row>
    <row r="230" spans="2:6" x14ac:dyDescent="0.45">
      <c r="B230" s="1028"/>
      <c r="C230" s="482" t="s">
        <v>850</v>
      </c>
      <c r="D230" s="778" t="s">
        <v>854</v>
      </c>
      <c r="E230" s="425" t="s">
        <v>881</v>
      </c>
      <c r="F230" s="853" t="s">
        <v>871</v>
      </c>
    </row>
    <row r="231" spans="2:6" ht="57" x14ac:dyDescent="0.45">
      <c r="B231" s="1028" t="s">
        <v>33</v>
      </c>
      <c r="C231" s="482" t="s">
        <v>169</v>
      </c>
      <c r="D231" s="770" t="s">
        <v>171</v>
      </c>
      <c r="E231" s="425" t="s">
        <v>252</v>
      </c>
      <c r="F231" s="842" t="s">
        <v>230</v>
      </c>
    </row>
    <row r="232" spans="2:6" x14ac:dyDescent="0.45">
      <c r="B232" s="1028"/>
      <c r="C232" s="482" t="s">
        <v>1025</v>
      </c>
      <c r="D232" s="770" t="s">
        <v>170</v>
      </c>
      <c r="E232" s="425" t="s">
        <v>58</v>
      </c>
      <c r="F232" s="842" t="s">
        <v>231</v>
      </c>
    </row>
    <row r="233" spans="2:6" x14ac:dyDescent="0.45">
      <c r="B233" s="1028" t="s">
        <v>34</v>
      </c>
      <c r="C233" s="437" t="s">
        <v>1026</v>
      </c>
      <c r="D233" s="770" t="s">
        <v>229</v>
      </c>
      <c r="E233" s="438" t="s">
        <v>298</v>
      </c>
      <c r="F233" s="854" t="s">
        <v>230</v>
      </c>
    </row>
    <row r="234" spans="2:6" x14ac:dyDescent="0.45">
      <c r="B234" s="1028"/>
      <c r="C234" s="432" t="s">
        <v>232</v>
      </c>
      <c r="D234" s="770" t="s">
        <v>233</v>
      </c>
      <c r="E234" s="425" t="s">
        <v>55</v>
      </c>
      <c r="F234" s="842" t="s">
        <v>231</v>
      </c>
    </row>
    <row r="235" spans="2:6" x14ac:dyDescent="0.45">
      <c r="B235" s="1022" t="s">
        <v>26</v>
      </c>
      <c r="C235" s="483" t="s">
        <v>1027</v>
      </c>
      <c r="D235" s="770" t="s">
        <v>234</v>
      </c>
      <c r="E235" s="425" t="s">
        <v>56</v>
      </c>
      <c r="F235" s="842" t="s">
        <v>243</v>
      </c>
    </row>
    <row r="236" spans="2:6" x14ac:dyDescent="0.45">
      <c r="B236" s="1022"/>
      <c r="C236" s="483" t="s">
        <v>313</v>
      </c>
      <c r="D236" s="770" t="s">
        <v>235</v>
      </c>
      <c r="E236" s="425" t="s">
        <v>59</v>
      </c>
      <c r="F236" s="842" t="s">
        <v>243</v>
      </c>
    </row>
    <row r="237" spans="2:6" x14ac:dyDescent="0.45">
      <c r="B237" s="1022"/>
      <c r="C237" s="483" t="s">
        <v>1028</v>
      </c>
      <c r="D237" s="770" t="s">
        <v>236</v>
      </c>
      <c r="E237" s="425" t="s">
        <v>57</v>
      </c>
      <c r="F237" s="842" t="s">
        <v>244</v>
      </c>
    </row>
    <row r="238" spans="2:6" ht="57" x14ac:dyDescent="0.45">
      <c r="B238" s="1022"/>
      <c r="C238" s="483" t="s">
        <v>314</v>
      </c>
      <c r="D238" s="770" t="s">
        <v>237</v>
      </c>
      <c r="E238" s="425" t="s">
        <v>247</v>
      </c>
      <c r="F238" s="842" t="s">
        <v>246</v>
      </c>
    </row>
    <row r="239" spans="2:6" ht="57" x14ac:dyDescent="0.45">
      <c r="B239" s="1022"/>
      <c r="C239" s="483" t="s">
        <v>315</v>
      </c>
      <c r="D239" s="770" t="s">
        <v>238</v>
      </c>
      <c r="E239" s="425" t="s">
        <v>248</v>
      </c>
      <c r="F239" s="842" t="s">
        <v>245</v>
      </c>
    </row>
    <row r="240" spans="2:6" x14ac:dyDescent="0.45">
      <c r="B240" s="1022"/>
      <c r="C240" s="434" t="s">
        <v>1029</v>
      </c>
      <c r="D240" s="770" t="s">
        <v>239</v>
      </c>
      <c r="E240" s="425" t="s">
        <v>60</v>
      </c>
      <c r="F240" s="842" t="s">
        <v>249</v>
      </c>
    </row>
    <row r="241" spans="2:6" ht="31.5" x14ac:dyDescent="0.45">
      <c r="B241" s="1022"/>
      <c r="C241" s="434" t="s">
        <v>1030</v>
      </c>
      <c r="D241" s="770" t="s">
        <v>240</v>
      </c>
      <c r="E241" s="425" t="s">
        <v>61</v>
      </c>
      <c r="F241" s="842" t="s">
        <v>249</v>
      </c>
    </row>
    <row r="242" spans="2:6" ht="57" x14ac:dyDescent="0.45">
      <c r="B242" s="1022" t="s">
        <v>99</v>
      </c>
      <c r="C242" s="483" t="s">
        <v>250</v>
      </c>
      <c r="D242" s="770" t="s">
        <v>241</v>
      </c>
      <c r="E242" s="425" t="s">
        <v>124</v>
      </c>
      <c r="F242" s="842" t="s">
        <v>231</v>
      </c>
    </row>
    <row r="243" spans="2:6" ht="57" x14ac:dyDescent="0.45">
      <c r="B243" s="1022"/>
      <c r="C243" s="434" t="s">
        <v>251</v>
      </c>
      <c r="D243" s="770" t="s">
        <v>242</v>
      </c>
      <c r="E243" s="425" t="s">
        <v>589</v>
      </c>
      <c r="F243" s="842" t="s">
        <v>231</v>
      </c>
    </row>
    <row r="244" spans="2:6" ht="57" x14ac:dyDescent="0.45">
      <c r="B244" s="1022"/>
      <c r="C244" s="483" t="s">
        <v>1031</v>
      </c>
      <c r="D244" s="770" t="s">
        <v>299</v>
      </c>
      <c r="E244" s="425" t="s">
        <v>301</v>
      </c>
      <c r="F244" s="842" t="s">
        <v>302</v>
      </c>
    </row>
    <row r="245" spans="2:6" ht="57" x14ac:dyDescent="0.45">
      <c r="B245" s="1022"/>
      <c r="C245" s="483" t="s">
        <v>1032</v>
      </c>
      <c r="D245" s="770" t="s">
        <v>300</v>
      </c>
      <c r="E245" s="425" t="s">
        <v>303</v>
      </c>
      <c r="F245" s="842" t="s">
        <v>302</v>
      </c>
    </row>
    <row r="246" spans="2:6" x14ac:dyDescent="0.45">
      <c r="B246" s="1053" t="s">
        <v>116</v>
      </c>
      <c r="C246" s="1054"/>
      <c r="D246" s="1054"/>
      <c r="E246" s="1054"/>
      <c r="F246" s="1055"/>
    </row>
    <row r="247" spans="2:6" x14ac:dyDescent="0.45">
      <c r="B247" s="1082" t="s">
        <v>103</v>
      </c>
      <c r="C247" s="437" t="s">
        <v>1033</v>
      </c>
      <c r="D247" s="770" t="s">
        <v>342</v>
      </c>
      <c r="E247" s="425" t="s">
        <v>63</v>
      </c>
      <c r="F247" s="842" t="s">
        <v>255</v>
      </c>
    </row>
    <row r="248" spans="2:6" ht="57" x14ac:dyDescent="0.45">
      <c r="B248" s="1082"/>
      <c r="C248" s="437" t="s">
        <v>449</v>
      </c>
      <c r="D248" s="770" t="s">
        <v>253</v>
      </c>
      <c r="E248" s="425" t="s">
        <v>62</v>
      </c>
      <c r="F248" s="842" t="s">
        <v>256</v>
      </c>
    </row>
    <row r="249" spans="2:6" ht="57" x14ac:dyDescent="0.45">
      <c r="B249" s="1082"/>
      <c r="C249" s="482" t="s">
        <v>1034</v>
      </c>
      <c r="D249" s="770" t="s">
        <v>254</v>
      </c>
      <c r="E249" s="425" t="s">
        <v>105</v>
      </c>
      <c r="F249" s="842" t="s">
        <v>257</v>
      </c>
    </row>
    <row r="250" spans="2:6" ht="57" x14ac:dyDescent="0.45">
      <c r="B250" s="1082"/>
      <c r="C250" s="437" t="s">
        <v>451</v>
      </c>
      <c r="D250" s="770" t="s">
        <v>343</v>
      </c>
      <c r="E250" s="425" t="s">
        <v>104</v>
      </c>
      <c r="F250" s="842" t="s">
        <v>258</v>
      </c>
    </row>
    <row r="251" spans="2:6" ht="57" x14ac:dyDescent="0.45">
      <c r="B251" s="1082"/>
      <c r="C251" s="433" t="s">
        <v>450</v>
      </c>
      <c r="D251" s="770" t="s">
        <v>454</v>
      </c>
      <c r="E251" s="413" t="s">
        <v>696</v>
      </c>
      <c r="F251" s="836"/>
    </row>
    <row r="252" spans="2:6" ht="85.5" x14ac:dyDescent="0.45">
      <c r="B252" s="1082"/>
      <c r="C252" s="433" t="s">
        <v>455</v>
      </c>
      <c r="D252" s="770" t="s">
        <v>469</v>
      </c>
      <c r="E252" s="425" t="s">
        <v>697</v>
      </c>
      <c r="F252" s="836"/>
    </row>
    <row r="253" spans="2:6" ht="85.5" x14ac:dyDescent="0.45">
      <c r="B253" s="1028" t="s">
        <v>1035</v>
      </c>
      <c r="C253" s="439" t="s">
        <v>1036</v>
      </c>
      <c r="D253" s="770" t="s">
        <v>259</v>
      </c>
      <c r="E253" s="425" t="s">
        <v>590</v>
      </c>
      <c r="F253" s="842" t="s">
        <v>258</v>
      </c>
    </row>
    <row r="254" spans="2:6" ht="114" x14ac:dyDescent="0.45">
      <c r="B254" s="1028"/>
      <c r="C254" s="482" t="s">
        <v>452</v>
      </c>
      <c r="D254" s="770" t="s">
        <v>260</v>
      </c>
      <c r="E254" s="425" t="s">
        <v>591</v>
      </c>
      <c r="F254" s="842" t="s">
        <v>258</v>
      </c>
    </row>
    <row r="255" spans="2:6" x14ac:dyDescent="0.45">
      <c r="B255" s="1028"/>
      <c r="C255" s="482" t="s">
        <v>457</v>
      </c>
      <c r="D255" s="770" t="s">
        <v>459</v>
      </c>
      <c r="E255" s="413" t="s">
        <v>698</v>
      </c>
      <c r="F255" s="836" t="s">
        <v>699</v>
      </c>
    </row>
    <row r="256" spans="2:6" ht="57" x14ac:dyDescent="0.45">
      <c r="B256" s="1028"/>
      <c r="C256" s="482" t="s">
        <v>458</v>
      </c>
      <c r="D256" s="770" t="s">
        <v>460</v>
      </c>
      <c r="E256" s="413" t="s">
        <v>700</v>
      </c>
      <c r="F256" s="836" t="s">
        <v>699</v>
      </c>
    </row>
    <row r="257" spans="2:6" ht="85.5" x14ac:dyDescent="0.45">
      <c r="B257" s="1083" t="s">
        <v>461</v>
      </c>
      <c r="C257" s="482" t="s">
        <v>316</v>
      </c>
      <c r="D257" s="770" t="s">
        <v>344</v>
      </c>
      <c r="E257" s="425" t="s">
        <v>106</v>
      </c>
      <c r="F257" s="842" t="s">
        <v>701</v>
      </c>
    </row>
    <row r="258" spans="2:6" x14ac:dyDescent="0.45">
      <c r="B258" s="1083"/>
      <c r="C258" s="482" t="s">
        <v>1037</v>
      </c>
      <c r="D258" s="770" t="s">
        <v>345</v>
      </c>
      <c r="E258" s="413" t="s">
        <v>702</v>
      </c>
      <c r="F258" s="836" t="s">
        <v>703</v>
      </c>
    </row>
    <row r="259" spans="2:6" hidden="1" x14ac:dyDescent="0.45">
      <c r="B259" s="1083"/>
      <c r="C259" s="432" t="s">
        <v>607</v>
      </c>
      <c r="D259" s="770" t="s">
        <v>608</v>
      </c>
      <c r="E259" s="425" t="s">
        <v>704</v>
      </c>
      <c r="F259" s="842" t="s">
        <v>701</v>
      </c>
    </row>
    <row r="260" spans="2:6" hidden="1" x14ac:dyDescent="0.45">
      <c r="B260" s="1083"/>
      <c r="C260" s="432" t="s">
        <v>1038</v>
      </c>
      <c r="D260" s="770" t="s">
        <v>609</v>
      </c>
      <c r="E260" s="413" t="s">
        <v>705</v>
      </c>
      <c r="F260" s="842" t="s">
        <v>703</v>
      </c>
    </row>
    <row r="261" spans="2:6" ht="57" hidden="1" x14ac:dyDescent="0.45">
      <c r="B261" s="1084" t="s">
        <v>464</v>
      </c>
      <c r="C261" s="482" t="s">
        <v>453</v>
      </c>
      <c r="D261" s="770" t="s">
        <v>261</v>
      </c>
      <c r="E261" s="425" t="s">
        <v>107</v>
      </c>
      <c r="F261" s="842" t="s">
        <v>262</v>
      </c>
    </row>
    <row r="262" spans="2:6" ht="85.5" hidden="1" x14ac:dyDescent="0.45">
      <c r="B262" s="1085"/>
      <c r="C262" s="432" t="s">
        <v>1039</v>
      </c>
      <c r="D262" s="770" t="s">
        <v>263</v>
      </c>
      <c r="E262" s="425" t="s">
        <v>592</v>
      </c>
      <c r="F262" s="842" t="s">
        <v>262</v>
      </c>
    </row>
    <row r="263" spans="2:6" ht="57" hidden="1" x14ac:dyDescent="0.45">
      <c r="B263" s="1085"/>
      <c r="C263" s="432" t="s">
        <v>462</v>
      </c>
      <c r="D263" s="770" t="s">
        <v>465</v>
      </c>
      <c r="E263" s="413" t="s">
        <v>706</v>
      </c>
      <c r="F263" s="842" t="s">
        <v>707</v>
      </c>
    </row>
    <row r="264" spans="2:6" ht="57" hidden="1" x14ac:dyDescent="0.45">
      <c r="B264" s="1085"/>
      <c r="C264" s="482" t="s">
        <v>463</v>
      </c>
      <c r="D264" s="770" t="s">
        <v>466</v>
      </c>
      <c r="E264" s="413" t="s">
        <v>708</v>
      </c>
      <c r="F264" s="836" t="s">
        <v>709</v>
      </c>
    </row>
    <row r="265" spans="2:6" hidden="1" x14ac:dyDescent="0.45">
      <c r="B265" s="1085"/>
      <c r="C265" s="1" t="s">
        <v>1192</v>
      </c>
      <c r="D265" s="770" t="s">
        <v>467</v>
      </c>
      <c r="E265" s="413" t="s">
        <v>710</v>
      </c>
      <c r="F265" s="836" t="s">
        <v>711</v>
      </c>
    </row>
    <row r="266" spans="2:6" ht="57" hidden="1" x14ac:dyDescent="0.45">
      <c r="B266" s="1085"/>
      <c r="C266" s="632" t="s">
        <v>1187</v>
      </c>
      <c r="D266" s="770" t="s">
        <v>468</v>
      </c>
      <c r="E266" s="413" t="s">
        <v>712</v>
      </c>
      <c r="F266" s="836" t="s">
        <v>711</v>
      </c>
    </row>
    <row r="267" spans="2:6" hidden="1" x14ac:dyDescent="0.45">
      <c r="B267" s="1085"/>
      <c r="C267" s="633" t="s">
        <v>1188</v>
      </c>
      <c r="D267" s="611" t="s">
        <v>1190</v>
      </c>
      <c r="E267" s="413"/>
      <c r="F267" s="836"/>
    </row>
    <row r="268" spans="2:6" ht="53.25" thickBot="1" x14ac:dyDescent="0.5">
      <c r="B268" s="1086"/>
      <c r="C268" s="951" t="s">
        <v>1189</v>
      </c>
      <c r="D268" s="896" t="s">
        <v>1191</v>
      </c>
      <c r="E268" s="413"/>
      <c r="F268" s="836"/>
    </row>
    <row r="269" spans="2:6" ht="57" x14ac:dyDescent="0.45">
      <c r="B269" s="1082" t="s">
        <v>111</v>
      </c>
      <c r="C269" s="482" t="s">
        <v>1040</v>
      </c>
      <c r="D269" s="770" t="s">
        <v>264</v>
      </c>
      <c r="E269" s="425" t="s">
        <v>120</v>
      </c>
      <c r="F269" s="842" t="s">
        <v>266</v>
      </c>
    </row>
    <row r="270" spans="2:6" ht="57" x14ac:dyDescent="0.45">
      <c r="B270" s="1082"/>
      <c r="C270" s="482" t="s">
        <v>317</v>
      </c>
      <c r="D270" s="770" t="s">
        <v>265</v>
      </c>
      <c r="E270" s="425" t="s">
        <v>593</v>
      </c>
      <c r="F270" s="842" t="s">
        <v>266</v>
      </c>
    </row>
    <row r="271" spans="2:6" ht="57" x14ac:dyDescent="0.45">
      <c r="B271" s="1082" t="s">
        <v>483</v>
      </c>
      <c r="C271" s="482" t="s">
        <v>490</v>
      </c>
      <c r="D271" s="770" t="s">
        <v>500</v>
      </c>
      <c r="E271" s="413" t="s">
        <v>713</v>
      </c>
      <c r="F271" s="836" t="s">
        <v>714</v>
      </c>
    </row>
    <row r="272" spans="2:6" ht="57" x14ac:dyDescent="0.45">
      <c r="B272" s="1082"/>
      <c r="C272" s="482" t="s">
        <v>485</v>
      </c>
      <c r="D272" s="770" t="s">
        <v>501</v>
      </c>
      <c r="E272" s="413" t="s">
        <v>715</v>
      </c>
      <c r="F272" s="836" t="s">
        <v>714</v>
      </c>
    </row>
    <row r="273" spans="2:139" ht="57" x14ac:dyDescent="0.45">
      <c r="B273" s="1082"/>
      <c r="C273" s="433" t="s">
        <v>486</v>
      </c>
      <c r="D273" s="770" t="s">
        <v>502</v>
      </c>
      <c r="E273" s="413" t="s">
        <v>716</v>
      </c>
      <c r="F273" s="836"/>
    </row>
    <row r="274" spans="2:139" x14ac:dyDescent="0.45">
      <c r="B274" s="1082" t="s">
        <v>487</v>
      </c>
      <c r="C274" s="482" t="s">
        <v>491</v>
      </c>
      <c r="D274" s="770" t="s">
        <v>503</v>
      </c>
      <c r="E274" s="413" t="s">
        <v>717</v>
      </c>
      <c r="F274" s="836" t="s">
        <v>718</v>
      </c>
    </row>
    <row r="275" spans="2:139" x14ac:dyDescent="0.45">
      <c r="B275" s="1082"/>
      <c r="C275" s="482" t="s">
        <v>488</v>
      </c>
      <c r="D275" s="770" t="s">
        <v>504</v>
      </c>
      <c r="E275" s="413" t="s">
        <v>719</v>
      </c>
      <c r="F275" s="836" t="s">
        <v>718</v>
      </c>
    </row>
    <row r="276" spans="2:139" x14ac:dyDescent="0.45">
      <c r="B276" s="1082"/>
      <c r="C276" s="433" t="s">
        <v>489</v>
      </c>
      <c r="D276" s="770" t="s">
        <v>505</v>
      </c>
      <c r="E276" s="413" t="s">
        <v>720</v>
      </c>
      <c r="F276" s="836"/>
    </row>
    <row r="277" spans="2:139" ht="57" x14ac:dyDescent="0.45">
      <c r="B277" s="1082" t="s">
        <v>484</v>
      </c>
      <c r="C277" s="482" t="s">
        <v>868</v>
      </c>
      <c r="D277" s="770" t="s">
        <v>506</v>
      </c>
      <c r="E277" s="413" t="s">
        <v>721</v>
      </c>
      <c r="F277" s="836" t="s">
        <v>722</v>
      </c>
    </row>
    <row r="278" spans="2:139" ht="57" x14ac:dyDescent="0.45">
      <c r="B278" s="1082"/>
      <c r="C278" s="482" t="s">
        <v>869</v>
      </c>
      <c r="D278" s="770" t="s">
        <v>507</v>
      </c>
      <c r="E278" s="413" t="s">
        <v>723</v>
      </c>
      <c r="F278" s="836" t="s">
        <v>722</v>
      </c>
    </row>
    <row r="279" spans="2:139" ht="57" x14ac:dyDescent="0.45">
      <c r="B279" s="1082"/>
      <c r="C279" s="440" t="s">
        <v>890</v>
      </c>
      <c r="D279" s="770" t="s">
        <v>508</v>
      </c>
      <c r="E279" s="413" t="s">
        <v>724</v>
      </c>
      <c r="F279" s="836"/>
    </row>
    <row r="280" spans="2:139" x14ac:dyDescent="0.45">
      <c r="B280" s="1053" t="s">
        <v>115</v>
      </c>
      <c r="C280" s="1054"/>
      <c r="D280" s="1054"/>
      <c r="E280" s="1054"/>
      <c r="F280" s="1055"/>
    </row>
    <row r="281" spans="2:139" ht="85.5" x14ac:dyDescent="0.45">
      <c r="B281" s="1083" t="s">
        <v>456</v>
      </c>
      <c r="C281" s="482" t="s">
        <v>470</v>
      </c>
      <c r="D281" s="770" t="s">
        <v>346</v>
      </c>
      <c r="E281" s="425" t="s">
        <v>64</v>
      </c>
      <c r="F281" s="842" t="s">
        <v>725</v>
      </c>
    </row>
    <row r="282" spans="2:139" s="443" customFormat="1" ht="57" x14ac:dyDescent="0.45">
      <c r="B282" s="1083"/>
      <c r="C282" s="482" t="s">
        <v>471</v>
      </c>
      <c r="D282" s="770" t="s">
        <v>347</v>
      </c>
      <c r="E282" s="425" t="s">
        <v>65</v>
      </c>
      <c r="F282" s="842" t="s">
        <v>725</v>
      </c>
      <c r="G282" s="833"/>
      <c r="H282" s="833"/>
      <c r="I282" s="833"/>
      <c r="J282" s="833"/>
      <c r="K282" s="833"/>
      <c r="L282" s="833"/>
      <c r="M282" s="833"/>
      <c r="N282" s="833"/>
      <c r="O282" s="833"/>
      <c r="P282" s="833"/>
      <c r="Q282" s="833"/>
      <c r="R282" s="833"/>
      <c r="S282" s="833"/>
      <c r="T282" s="833"/>
      <c r="U282" s="833"/>
      <c r="V282" s="833"/>
      <c r="W282" s="833"/>
      <c r="X282" s="833"/>
      <c r="Y282" s="833"/>
      <c r="Z282" s="833"/>
      <c r="AA282" s="833"/>
      <c r="AB282" s="833"/>
      <c r="AC282" s="833"/>
      <c r="AD282" s="833"/>
      <c r="AE282" s="833"/>
      <c r="AF282" s="833"/>
      <c r="AG282" s="833"/>
      <c r="AH282" s="833"/>
      <c r="AI282" s="833"/>
      <c r="AJ282" s="833"/>
      <c r="AK282" s="833"/>
      <c r="AL282" s="833"/>
      <c r="AM282" s="833"/>
      <c r="AN282" s="833"/>
      <c r="AO282" s="833"/>
      <c r="AP282" s="833"/>
      <c r="AQ282" s="833"/>
      <c r="AR282" s="833"/>
      <c r="AS282" s="833"/>
      <c r="AT282" s="833"/>
      <c r="AU282" s="833"/>
      <c r="AV282" s="833"/>
      <c r="AW282" s="833"/>
      <c r="AX282" s="833"/>
      <c r="AY282" s="833"/>
      <c r="AZ282" s="833"/>
      <c r="BA282" s="833"/>
      <c r="BB282" s="833"/>
      <c r="BC282" s="833"/>
      <c r="BD282" s="833"/>
      <c r="BE282" s="833"/>
      <c r="BF282" s="833"/>
      <c r="BG282" s="833"/>
      <c r="BH282" s="833"/>
      <c r="BI282" s="833"/>
      <c r="BJ282" s="833"/>
      <c r="BK282" s="833"/>
      <c r="BL282" s="833"/>
      <c r="BM282" s="833"/>
      <c r="BN282" s="833"/>
      <c r="BO282" s="833"/>
      <c r="BP282" s="833"/>
      <c r="BQ282" s="833"/>
      <c r="BR282" s="833"/>
      <c r="BS282" s="833"/>
      <c r="BT282" s="833"/>
      <c r="BU282" s="833"/>
      <c r="BV282" s="833"/>
      <c r="BW282" s="833"/>
      <c r="BX282" s="833"/>
      <c r="BY282" s="833"/>
      <c r="BZ282" s="833"/>
      <c r="CA282" s="833"/>
      <c r="CB282" s="833"/>
      <c r="CC282" s="833"/>
      <c r="CD282" s="833"/>
      <c r="CE282" s="833"/>
      <c r="CF282" s="833"/>
      <c r="CG282" s="833"/>
      <c r="CH282" s="833"/>
      <c r="CI282" s="833"/>
      <c r="CJ282" s="833"/>
      <c r="CK282" s="833"/>
      <c r="CL282" s="833"/>
      <c r="CM282" s="833"/>
      <c r="CN282" s="833"/>
      <c r="CO282" s="833"/>
      <c r="CP282" s="833"/>
      <c r="CQ282" s="833"/>
      <c r="CR282" s="833"/>
      <c r="CS282" s="833"/>
      <c r="CT282" s="833"/>
      <c r="CU282" s="833"/>
      <c r="CV282" s="833"/>
      <c r="CW282" s="833"/>
      <c r="CX282" s="833"/>
      <c r="CY282" s="833"/>
      <c r="CZ282" s="833"/>
      <c r="DA282" s="833"/>
      <c r="DB282" s="833"/>
      <c r="DC282" s="833"/>
      <c r="DD282" s="833"/>
      <c r="DE282" s="833"/>
      <c r="DF282" s="833"/>
      <c r="DG282" s="833"/>
      <c r="DH282" s="833"/>
      <c r="DI282" s="833"/>
      <c r="DJ282" s="833"/>
      <c r="DK282" s="833"/>
      <c r="DL282" s="833"/>
      <c r="DM282" s="833"/>
      <c r="DN282" s="833"/>
      <c r="DO282" s="833"/>
      <c r="DP282" s="833"/>
      <c r="DQ282" s="833"/>
      <c r="DR282" s="833"/>
      <c r="DS282" s="833"/>
      <c r="DT282" s="833"/>
      <c r="DU282" s="833"/>
      <c r="DV282" s="833"/>
      <c r="DW282" s="833"/>
      <c r="DX282" s="833"/>
      <c r="DY282" s="833"/>
      <c r="DZ282" s="833"/>
      <c r="EA282" s="833"/>
      <c r="EB282" s="833"/>
      <c r="EC282" s="833"/>
      <c r="ED282" s="833"/>
      <c r="EE282" s="833"/>
      <c r="EF282" s="833"/>
      <c r="EG282" s="833"/>
      <c r="EH282" s="833"/>
      <c r="EI282" s="833"/>
    </row>
    <row r="283" spans="2:139" x14ac:dyDescent="0.45">
      <c r="B283" s="1083"/>
      <c r="C283" s="433" t="s">
        <v>472</v>
      </c>
      <c r="D283" s="770" t="s">
        <v>478</v>
      </c>
      <c r="E283" s="413"/>
      <c r="F283" s="836"/>
    </row>
    <row r="284" spans="2:139" ht="57" x14ac:dyDescent="0.45">
      <c r="B284" s="1028" t="s">
        <v>1041</v>
      </c>
      <c r="C284" s="482" t="s">
        <v>473</v>
      </c>
      <c r="D284" s="770" t="s">
        <v>479</v>
      </c>
      <c r="E284" s="413" t="s">
        <v>726</v>
      </c>
      <c r="F284" s="842" t="s">
        <v>725</v>
      </c>
    </row>
    <row r="285" spans="2:139" x14ac:dyDescent="0.45">
      <c r="B285" s="1028"/>
      <c r="C285" s="482" t="s">
        <v>474</v>
      </c>
      <c r="D285" s="770" t="s">
        <v>480</v>
      </c>
      <c r="E285" s="413" t="s">
        <v>727</v>
      </c>
      <c r="F285" s="842" t="s">
        <v>725</v>
      </c>
    </row>
    <row r="286" spans="2:139" ht="57" x14ac:dyDescent="0.45">
      <c r="B286" s="1093" t="s">
        <v>461</v>
      </c>
      <c r="C286" s="441" t="s">
        <v>475</v>
      </c>
      <c r="D286" s="779" t="s">
        <v>348</v>
      </c>
      <c r="E286" s="442" t="s">
        <v>125</v>
      </c>
      <c r="F286" s="855" t="s">
        <v>273</v>
      </c>
    </row>
    <row r="287" spans="2:139" x14ac:dyDescent="0.45">
      <c r="B287" s="1093"/>
      <c r="C287" s="441" t="s">
        <v>605</v>
      </c>
      <c r="D287" s="779" t="s">
        <v>606</v>
      </c>
      <c r="E287" s="442" t="s">
        <v>728</v>
      </c>
      <c r="F287" s="855" t="s">
        <v>273</v>
      </c>
    </row>
    <row r="288" spans="2:139" ht="57" x14ac:dyDescent="0.45">
      <c r="B288" s="1087" t="s">
        <v>464</v>
      </c>
      <c r="C288" s="482" t="s">
        <v>476</v>
      </c>
      <c r="D288" s="770" t="s">
        <v>349</v>
      </c>
      <c r="E288" s="425" t="s">
        <v>729</v>
      </c>
      <c r="F288" s="842" t="s">
        <v>730</v>
      </c>
    </row>
    <row r="289" spans="2:6" ht="57.75" thickBot="1" x14ac:dyDescent="0.5">
      <c r="B289" s="1088"/>
      <c r="C289" s="482" t="s">
        <v>477</v>
      </c>
      <c r="D289" s="770" t="s">
        <v>481</v>
      </c>
      <c r="E289" s="413" t="s">
        <v>731</v>
      </c>
      <c r="F289" s="842" t="s">
        <v>730</v>
      </c>
    </row>
    <row r="290" spans="2:6" ht="57" x14ac:dyDescent="0.45">
      <c r="B290" s="1088"/>
      <c r="C290" s="685" t="s">
        <v>1212</v>
      </c>
      <c r="D290" s="897" t="s">
        <v>482</v>
      </c>
      <c r="E290" s="413" t="s">
        <v>732</v>
      </c>
      <c r="F290" s="842" t="s">
        <v>733</v>
      </c>
    </row>
    <row r="291" spans="2:6" ht="53.25" thickBot="1" x14ac:dyDescent="0.5">
      <c r="B291" s="1089"/>
      <c r="C291" s="675" t="s">
        <v>1211</v>
      </c>
      <c r="D291" s="677" t="s">
        <v>1210</v>
      </c>
      <c r="E291" s="413"/>
      <c r="F291" s="842"/>
    </row>
    <row r="292" spans="2:6" x14ac:dyDescent="0.45">
      <c r="B292" s="892" t="s">
        <v>267</v>
      </c>
      <c r="C292" s="482" t="s">
        <v>1042</v>
      </c>
      <c r="D292" s="770" t="s">
        <v>350</v>
      </c>
      <c r="E292" s="425" t="s">
        <v>268</v>
      </c>
      <c r="F292" s="842" t="s">
        <v>269</v>
      </c>
    </row>
    <row r="293" spans="2:6" ht="57" x14ac:dyDescent="0.45">
      <c r="B293" s="1083" t="s">
        <v>1043</v>
      </c>
      <c r="C293" s="482" t="s">
        <v>270</v>
      </c>
      <c r="D293" s="770" t="s">
        <v>351</v>
      </c>
      <c r="E293" s="425" t="s">
        <v>271</v>
      </c>
      <c r="F293" s="842" t="s">
        <v>272</v>
      </c>
    </row>
    <row r="294" spans="2:6" ht="114" x14ac:dyDescent="0.45">
      <c r="B294" s="1083"/>
      <c r="C294" s="482" t="s">
        <v>318</v>
      </c>
      <c r="D294" s="770" t="s">
        <v>352</v>
      </c>
      <c r="E294" s="425" t="s">
        <v>126</v>
      </c>
      <c r="F294" s="842" t="s">
        <v>273</v>
      </c>
    </row>
    <row r="295" spans="2:6" ht="114" x14ac:dyDescent="0.45">
      <c r="B295" s="1083"/>
      <c r="C295" s="482" t="s">
        <v>1044</v>
      </c>
      <c r="D295" s="770" t="s">
        <v>353</v>
      </c>
      <c r="E295" s="425" t="s">
        <v>127</v>
      </c>
      <c r="F295" s="842" t="s">
        <v>274</v>
      </c>
    </row>
    <row r="296" spans="2:6" x14ac:dyDescent="0.45">
      <c r="B296" s="1053" t="s">
        <v>117</v>
      </c>
      <c r="C296" s="1054"/>
      <c r="D296" s="1054"/>
      <c r="E296" s="1054"/>
      <c r="F296" s="1055"/>
    </row>
    <row r="297" spans="2:6" ht="57" x14ac:dyDescent="0.45">
      <c r="B297" s="892" t="s">
        <v>275</v>
      </c>
      <c r="C297" s="444" t="s">
        <v>1045</v>
      </c>
      <c r="D297" s="770" t="s">
        <v>276</v>
      </c>
      <c r="E297" s="425" t="s">
        <v>734</v>
      </c>
      <c r="F297" s="842" t="s">
        <v>735</v>
      </c>
    </row>
    <row r="298" spans="2:6" ht="57" x14ac:dyDescent="0.45">
      <c r="B298" s="1028" t="s">
        <v>542</v>
      </c>
      <c r="C298" s="432" t="s">
        <v>369</v>
      </c>
      <c r="D298" s="770" t="s">
        <v>536</v>
      </c>
      <c r="E298" s="413" t="s">
        <v>736</v>
      </c>
      <c r="F298" s="842" t="s">
        <v>735</v>
      </c>
    </row>
    <row r="299" spans="2:6" ht="57" x14ac:dyDescent="0.45">
      <c r="B299" s="1028"/>
      <c r="C299" s="432" t="s">
        <v>364</v>
      </c>
      <c r="D299" s="770" t="s">
        <v>537</v>
      </c>
      <c r="E299" s="413" t="s">
        <v>737</v>
      </c>
      <c r="F299" s="842" t="s">
        <v>735</v>
      </c>
    </row>
    <row r="300" spans="2:6" ht="57" x14ac:dyDescent="0.45">
      <c r="B300" s="1028"/>
      <c r="C300" s="482" t="s">
        <v>365</v>
      </c>
      <c r="D300" s="770" t="s">
        <v>538</v>
      </c>
      <c r="E300" s="413" t="s">
        <v>738</v>
      </c>
      <c r="F300" s="842" t="s">
        <v>735</v>
      </c>
    </row>
    <row r="301" spans="2:6" ht="57" x14ac:dyDescent="0.45">
      <c r="B301" s="1028"/>
      <c r="C301" s="482" t="s">
        <v>366</v>
      </c>
      <c r="D301" s="770" t="s">
        <v>539</v>
      </c>
      <c r="E301" s="413" t="s">
        <v>739</v>
      </c>
      <c r="F301" s="842" t="s">
        <v>735</v>
      </c>
    </row>
    <row r="302" spans="2:6" ht="57" x14ac:dyDescent="0.45">
      <c r="B302" s="1028"/>
      <c r="C302" s="482" t="s">
        <v>367</v>
      </c>
      <c r="D302" s="770" t="s">
        <v>540</v>
      </c>
      <c r="E302" s="413" t="s">
        <v>740</v>
      </c>
      <c r="F302" s="842" t="s">
        <v>735</v>
      </c>
    </row>
    <row r="303" spans="2:6" ht="57" x14ac:dyDescent="0.45">
      <c r="B303" s="1028"/>
      <c r="C303" s="482" t="s">
        <v>368</v>
      </c>
      <c r="D303" s="770" t="s">
        <v>541</v>
      </c>
      <c r="E303" s="413" t="s">
        <v>741</v>
      </c>
      <c r="F303" s="842" t="s">
        <v>735</v>
      </c>
    </row>
    <row r="304" spans="2:6" ht="51.75" customHeight="1" thickBot="1" x14ac:dyDescent="0.5">
      <c r="B304" s="892" t="s">
        <v>543</v>
      </c>
      <c r="C304" s="445" t="s">
        <v>891</v>
      </c>
      <c r="D304" s="770" t="s">
        <v>277</v>
      </c>
      <c r="E304" s="425" t="s">
        <v>66</v>
      </c>
      <c r="F304" s="842" t="s">
        <v>735</v>
      </c>
    </row>
    <row r="305" spans="2:6" ht="57" x14ac:dyDescent="0.45">
      <c r="B305" s="1098" t="s">
        <v>1347</v>
      </c>
      <c r="C305" s="466" t="s">
        <v>1345</v>
      </c>
      <c r="D305" s="780" t="s">
        <v>921</v>
      </c>
      <c r="E305" s="425" t="s">
        <v>1346</v>
      </c>
      <c r="F305" s="842" t="s">
        <v>928</v>
      </c>
    </row>
    <row r="306" spans="2:6" x14ac:dyDescent="0.45">
      <c r="B306" s="1099"/>
      <c r="C306" s="938" t="s">
        <v>1283</v>
      </c>
      <c r="D306" s="973" t="s">
        <v>1285</v>
      </c>
      <c r="E306" s="425" t="s">
        <v>1330</v>
      </c>
      <c r="F306" s="842"/>
    </row>
    <row r="307" spans="2:6" x14ac:dyDescent="0.45">
      <c r="B307" s="1099"/>
      <c r="C307" s="938" t="s">
        <v>1288</v>
      </c>
      <c r="D307" s="973" t="s">
        <v>1286</v>
      </c>
      <c r="E307" s="425" t="s">
        <v>1331</v>
      </c>
      <c r="F307" s="842"/>
    </row>
    <row r="308" spans="2:6" ht="29.25" thickBot="1" x14ac:dyDescent="0.5">
      <c r="B308" s="1100"/>
      <c r="C308" s="938" t="s">
        <v>1284</v>
      </c>
      <c r="D308" s="973" t="s">
        <v>1287</v>
      </c>
      <c r="E308" s="998" t="s">
        <v>1348</v>
      </c>
      <c r="F308" s="842"/>
    </row>
    <row r="309" spans="2:6" x14ac:dyDescent="0.45">
      <c r="B309" s="1028" t="s">
        <v>544</v>
      </c>
      <c r="C309" s="482" t="s">
        <v>922</v>
      </c>
      <c r="D309" s="770" t="s">
        <v>531</v>
      </c>
      <c r="E309" s="413" t="s">
        <v>923</v>
      </c>
      <c r="F309" s="836" t="s">
        <v>742</v>
      </c>
    </row>
    <row r="310" spans="2:6" x14ac:dyDescent="0.45">
      <c r="B310" s="1028"/>
      <c r="C310" s="444" t="s">
        <v>1046</v>
      </c>
      <c r="D310" s="770" t="s">
        <v>279</v>
      </c>
      <c r="E310" s="425" t="s">
        <v>278</v>
      </c>
      <c r="F310" s="842" t="s">
        <v>280</v>
      </c>
    </row>
    <row r="311" spans="2:6" x14ac:dyDescent="0.45">
      <c r="B311" s="1028" t="s">
        <v>414</v>
      </c>
      <c r="C311" s="482" t="s">
        <v>369</v>
      </c>
      <c r="D311" s="770" t="s">
        <v>383</v>
      </c>
      <c r="E311" s="425" t="s">
        <v>400</v>
      </c>
      <c r="F311" s="842" t="s">
        <v>280</v>
      </c>
    </row>
    <row r="312" spans="2:6" x14ac:dyDescent="0.45">
      <c r="B312" s="1028"/>
      <c r="C312" s="482" t="s">
        <v>364</v>
      </c>
      <c r="D312" s="770" t="s">
        <v>384</v>
      </c>
      <c r="E312" s="425" t="s">
        <v>401</v>
      </c>
      <c r="F312" s="842" t="s">
        <v>280</v>
      </c>
    </row>
    <row r="313" spans="2:6" x14ac:dyDescent="0.45">
      <c r="B313" s="1028"/>
      <c r="C313" s="482" t="s">
        <v>365</v>
      </c>
      <c r="D313" s="770" t="s">
        <v>385</v>
      </c>
      <c r="E313" s="425" t="s">
        <v>402</v>
      </c>
      <c r="F313" s="842" t="s">
        <v>280</v>
      </c>
    </row>
    <row r="314" spans="2:6" x14ac:dyDescent="0.45">
      <c r="B314" s="1028"/>
      <c r="C314" s="482" t="s">
        <v>366</v>
      </c>
      <c r="D314" s="770" t="s">
        <v>386</v>
      </c>
      <c r="E314" s="425" t="s">
        <v>403</v>
      </c>
      <c r="F314" s="842" t="s">
        <v>280</v>
      </c>
    </row>
    <row r="315" spans="2:6" x14ac:dyDescent="0.45">
      <c r="B315" s="1028"/>
      <c r="C315" s="482" t="s">
        <v>367</v>
      </c>
      <c r="D315" s="770" t="s">
        <v>387</v>
      </c>
      <c r="E315" s="425" t="s">
        <v>404</v>
      </c>
      <c r="F315" s="842" t="s">
        <v>280</v>
      </c>
    </row>
    <row r="316" spans="2:6" ht="57" x14ac:dyDescent="0.45">
      <c r="B316" s="1028"/>
      <c r="C316" s="482" t="s">
        <v>368</v>
      </c>
      <c r="D316" s="770" t="s">
        <v>388</v>
      </c>
      <c r="E316" s="425" t="s">
        <v>405</v>
      </c>
      <c r="F316" s="842" t="s">
        <v>280</v>
      </c>
    </row>
    <row r="317" spans="2:6" x14ac:dyDescent="0.45">
      <c r="B317" s="1028" t="s">
        <v>415</v>
      </c>
      <c r="C317" s="482" t="s">
        <v>418</v>
      </c>
      <c r="D317" s="770" t="s">
        <v>394</v>
      </c>
      <c r="E317" s="425" t="s">
        <v>406</v>
      </c>
      <c r="F317" s="842" t="s">
        <v>412</v>
      </c>
    </row>
    <row r="318" spans="2:6" x14ac:dyDescent="0.45">
      <c r="B318" s="1028"/>
      <c r="C318" s="432" t="s">
        <v>389</v>
      </c>
      <c r="D318" s="770" t="s">
        <v>395</v>
      </c>
      <c r="E318" s="425" t="s">
        <v>407</v>
      </c>
      <c r="F318" s="842" t="s">
        <v>412</v>
      </c>
    </row>
    <row r="319" spans="2:6" x14ac:dyDescent="0.45">
      <c r="B319" s="1028"/>
      <c r="C319" s="432" t="s">
        <v>390</v>
      </c>
      <c r="D319" s="770" t="s">
        <v>396</v>
      </c>
      <c r="E319" s="425" t="s">
        <v>408</v>
      </c>
      <c r="F319" s="842" t="s">
        <v>412</v>
      </c>
    </row>
    <row r="320" spans="2:6" x14ac:dyDescent="0.45">
      <c r="B320" s="1028"/>
      <c r="C320" s="482" t="s">
        <v>391</v>
      </c>
      <c r="D320" s="770" t="s">
        <v>397</v>
      </c>
      <c r="E320" s="425" t="s">
        <v>409</v>
      </c>
      <c r="F320" s="842" t="s">
        <v>412</v>
      </c>
    </row>
    <row r="321" spans="2:6" x14ac:dyDescent="0.45">
      <c r="B321" s="1028"/>
      <c r="C321" s="482" t="s">
        <v>392</v>
      </c>
      <c r="D321" s="770" t="s">
        <v>398</v>
      </c>
      <c r="E321" s="425" t="s">
        <v>410</v>
      </c>
      <c r="F321" s="842" t="s">
        <v>412</v>
      </c>
    </row>
    <row r="322" spans="2:6" x14ac:dyDescent="0.45">
      <c r="B322" s="1028"/>
      <c r="C322" s="482" t="s">
        <v>393</v>
      </c>
      <c r="D322" s="770" t="s">
        <v>399</v>
      </c>
      <c r="E322" s="425" t="s">
        <v>411</v>
      </c>
      <c r="F322" s="842" t="s">
        <v>412</v>
      </c>
    </row>
    <row r="323" spans="2:6" x14ac:dyDescent="0.45">
      <c r="B323" s="1028"/>
      <c r="C323" s="431" t="s">
        <v>413</v>
      </c>
      <c r="D323" s="770" t="s">
        <v>417</v>
      </c>
      <c r="E323" s="413"/>
      <c r="F323" s="836"/>
    </row>
    <row r="324" spans="2:6" x14ac:dyDescent="0.45">
      <c r="B324" s="1028"/>
      <c r="C324" s="482" t="s">
        <v>435</v>
      </c>
      <c r="D324" s="770" t="s">
        <v>419</v>
      </c>
      <c r="E324" s="425" t="s">
        <v>433</v>
      </c>
      <c r="F324" s="842" t="s">
        <v>412</v>
      </c>
    </row>
    <row r="325" spans="2:6" ht="57" x14ac:dyDescent="0.45">
      <c r="B325" s="1101" t="s">
        <v>575</v>
      </c>
      <c r="C325" s="482" t="s">
        <v>568</v>
      </c>
      <c r="D325" s="770" t="s">
        <v>528</v>
      </c>
      <c r="E325" s="413" t="s">
        <v>744</v>
      </c>
      <c r="F325" s="836" t="s">
        <v>745</v>
      </c>
    </row>
    <row r="326" spans="2:6" ht="57" x14ac:dyDescent="0.45">
      <c r="B326" s="1106"/>
      <c r="C326" s="482" t="s">
        <v>569</v>
      </c>
      <c r="D326" s="770" t="s">
        <v>529</v>
      </c>
      <c r="E326" s="413" t="s">
        <v>746</v>
      </c>
      <c r="F326" s="836" t="s">
        <v>745</v>
      </c>
    </row>
    <row r="327" spans="2:6" ht="57" x14ac:dyDescent="0.45">
      <c r="B327" s="1106"/>
      <c r="C327" s="431" t="s">
        <v>785</v>
      </c>
      <c r="D327" s="770" t="s">
        <v>527</v>
      </c>
      <c r="E327" s="413"/>
      <c r="F327" s="856"/>
    </row>
    <row r="328" spans="2:6" ht="57" x14ac:dyDescent="0.45">
      <c r="B328" s="1106"/>
      <c r="C328" s="482" t="s">
        <v>570</v>
      </c>
      <c r="D328" s="770" t="s">
        <v>530</v>
      </c>
      <c r="E328" s="413" t="s">
        <v>747</v>
      </c>
      <c r="F328" s="836" t="s">
        <v>745</v>
      </c>
    </row>
    <row r="329" spans="2:6" ht="57" x14ac:dyDescent="0.45">
      <c r="B329" s="1106"/>
      <c r="C329" s="482" t="s">
        <v>571</v>
      </c>
      <c r="D329" s="770" t="s">
        <v>564</v>
      </c>
      <c r="E329" s="413" t="s">
        <v>748</v>
      </c>
      <c r="F329" s="836" t="s">
        <v>745</v>
      </c>
    </row>
    <row r="330" spans="2:6" ht="57" x14ac:dyDescent="0.45">
      <c r="B330" s="1106"/>
      <c r="C330" s="431" t="s">
        <v>786</v>
      </c>
      <c r="D330" s="770" t="s">
        <v>281</v>
      </c>
      <c r="E330" s="425" t="s">
        <v>743</v>
      </c>
      <c r="F330" s="842" t="s">
        <v>280</v>
      </c>
    </row>
    <row r="331" spans="2:6" ht="57" x14ac:dyDescent="0.45">
      <c r="B331" s="1106"/>
      <c r="C331" s="482" t="s">
        <v>1047</v>
      </c>
      <c r="D331" s="770" t="s">
        <v>565</v>
      </c>
      <c r="E331" s="413" t="s">
        <v>749</v>
      </c>
      <c r="F331" s="836" t="s">
        <v>750</v>
      </c>
    </row>
    <row r="332" spans="2:6" ht="57" x14ac:dyDescent="0.45">
      <c r="B332" s="1106"/>
      <c r="C332" s="482" t="s">
        <v>1048</v>
      </c>
      <c r="D332" s="770" t="s">
        <v>566</v>
      </c>
      <c r="E332" s="413" t="s">
        <v>751</v>
      </c>
      <c r="F332" s="836" t="s">
        <v>752</v>
      </c>
    </row>
    <row r="333" spans="2:6" ht="57" x14ac:dyDescent="0.45">
      <c r="B333" s="1106"/>
      <c r="C333" s="482" t="s">
        <v>1049</v>
      </c>
      <c r="D333" s="770" t="s">
        <v>567</v>
      </c>
      <c r="E333" s="413" t="s">
        <v>753</v>
      </c>
      <c r="F333" s="836" t="s">
        <v>754</v>
      </c>
    </row>
    <row r="334" spans="2:6" ht="57" x14ac:dyDescent="0.45">
      <c r="B334" s="1106"/>
      <c r="C334" s="431" t="s">
        <v>787</v>
      </c>
      <c r="D334" s="770" t="s">
        <v>573</v>
      </c>
      <c r="E334" s="446" t="s">
        <v>791</v>
      </c>
      <c r="F334" s="857">
        <f t="shared" ref="F334" si="0">SUM(F331:F333)</f>
        <v>0</v>
      </c>
    </row>
    <row r="335" spans="2:6" ht="85.5" x14ac:dyDescent="0.45">
      <c r="B335" s="1106"/>
      <c r="C335" s="482" t="s">
        <v>572</v>
      </c>
      <c r="D335" s="770" t="s">
        <v>574</v>
      </c>
      <c r="E335" s="413" t="s">
        <v>755</v>
      </c>
      <c r="F335" s="836" t="s">
        <v>756</v>
      </c>
    </row>
    <row r="336" spans="2:6" ht="57.75" thickBot="1" x14ac:dyDescent="0.5">
      <c r="B336" s="1102"/>
      <c r="C336" s="431" t="s">
        <v>788</v>
      </c>
      <c r="D336" s="770" t="s">
        <v>577</v>
      </c>
      <c r="E336" s="413" t="s">
        <v>757</v>
      </c>
      <c r="F336" s="836" t="s">
        <v>758</v>
      </c>
    </row>
    <row r="337" spans="2:6" ht="57" x14ac:dyDescent="0.45">
      <c r="B337" s="1103" t="s">
        <v>1290</v>
      </c>
      <c r="C337" s="974" t="s">
        <v>1291</v>
      </c>
      <c r="D337" s="975" t="s">
        <v>1294</v>
      </c>
      <c r="E337" s="413" t="s">
        <v>1323</v>
      </c>
      <c r="F337" s="836" t="s">
        <v>1324</v>
      </c>
    </row>
    <row r="338" spans="2:6" x14ac:dyDescent="0.45">
      <c r="B338" s="1104"/>
      <c r="C338" s="974" t="s">
        <v>1292</v>
      </c>
      <c r="D338" s="975" t="s">
        <v>1295</v>
      </c>
      <c r="E338" s="413" t="s">
        <v>1325</v>
      </c>
      <c r="F338" s="836" t="s">
        <v>1326</v>
      </c>
    </row>
    <row r="339" spans="2:6" ht="57.75" thickBot="1" x14ac:dyDescent="0.5">
      <c r="B339" s="1105"/>
      <c r="C339" s="974" t="s">
        <v>1293</v>
      </c>
      <c r="D339" s="975" t="s">
        <v>1296</v>
      </c>
      <c r="E339" s="413" t="s">
        <v>1327</v>
      </c>
      <c r="F339" s="836" t="s">
        <v>1328</v>
      </c>
    </row>
    <row r="340" spans="2:6" ht="57" x14ac:dyDescent="0.45">
      <c r="B340" s="1101" t="s">
        <v>789</v>
      </c>
      <c r="C340" s="482" t="s">
        <v>759</v>
      </c>
      <c r="D340" s="770" t="s">
        <v>578</v>
      </c>
      <c r="E340" s="413" t="s">
        <v>760</v>
      </c>
      <c r="F340" s="836" t="s">
        <v>761</v>
      </c>
    </row>
    <row r="341" spans="2:6" ht="57" x14ac:dyDescent="0.45">
      <c r="B341" s="1102"/>
      <c r="C341" s="482" t="s">
        <v>762</v>
      </c>
      <c r="D341" s="770" t="s">
        <v>579</v>
      </c>
      <c r="E341" s="413" t="s">
        <v>763</v>
      </c>
      <c r="F341" s="836" t="s">
        <v>761</v>
      </c>
    </row>
    <row r="342" spans="2:6" x14ac:dyDescent="0.45">
      <c r="B342" s="1083" t="s">
        <v>576</v>
      </c>
      <c r="C342" s="431" t="s">
        <v>492</v>
      </c>
      <c r="D342" s="770" t="s">
        <v>580</v>
      </c>
      <c r="E342" s="413" t="s">
        <v>674</v>
      </c>
      <c r="F342" s="836" t="s">
        <v>764</v>
      </c>
    </row>
    <row r="343" spans="2:6" x14ac:dyDescent="0.45">
      <c r="B343" s="1083"/>
      <c r="C343" s="447" t="s">
        <v>906</v>
      </c>
      <c r="D343" s="770" t="s">
        <v>580</v>
      </c>
      <c r="E343" s="413"/>
      <c r="F343" s="836"/>
    </row>
    <row r="344" spans="2:6" ht="57" x14ac:dyDescent="0.45">
      <c r="B344" s="1083"/>
      <c r="C344" s="482" t="s">
        <v>563</v>
      </c>
      <c r="D344" s="770" t="s">
        <v>581</v>
      </c>
      <c r="E344" s="482" t="s">
        <v>765</v>
      </c>
      <c r="F344" s="836" t="s">
        <v>766</v>
      </c>
    </row>
    <row r="345" spans="2:6" ht="57" x14ac:dyDescent="0.45">
      <c r="B345" s="1083"/>
      <c r="C345" s="482" t="s">
        <v>1047</v>
      </c>
      <c r="D345" s="770" t="s">
        <v>582</v>
      </c>
      <c r="E345" s="413" t="s">
        <v>767</v>
      </c>
      <c r="F345" s="836" t="s">
        <v>750</v>
      </c>
    </row>
    <row r="346" spans="2:6" ht="57" x14ac:dyDescent="0.45">
      <c r="B346" s="1083"/>
      <c r="C346" s="482" t="s">
        <v>1048</v>
      </c>
      <c r="D346" s="770" t="s">
        <v>583</v>
      </c>
      <c r="E346" s="413" t="s">
        <v>768</v>
      </c>
      <c r="F346" s="836" t="s">
        <v>752</v>
      </c>
    </row>
    <row r="347" spans="2:6" ht="57" x14ac:dyDescent="0.45">
      <c r="B347" s="1083"/>
      <c r="C347" s="482" t="s">
        <v>1049</v>
      </c>
      <c r="D347" s="770" t="s">
        <v>584</v>
      </c>
      <c r="E347" s="413" t="s">
        <v>769</v>
      </c>
      <c r="F347" s="836" t="s">
        <v>754</v>
      </c>
    </row>
    <row r="348" spans="2:6" ht="85.5" x14ac:dyDescent="0.45">
      <c r="B348" s="1083"/>
      <c r="C348" s="482" t="s">
        <v>572</v>
      </c>
      <c r="D348" s="770" t="s">
        <v>585</v>
      </c>
      <c r="E348" s="413" t="s">
        <v>770</v>
      </c>
      <c r="F348" s="836" t="s">
        <v>756</v>
      </c>
    </row>
    <row r="349" spans="2:6" ht="57" x14ac:dyDescent="0.45">
      <c r="B349" s="1083"/>
      <c r="C349" s="431" t="s">
        <v>912</v>
      </c>
      <c r="D349" s="770" t="s">
        <v>586</v>
      </c>
      <c r="E349" s="413" t="s">
        <v>771</v>
      </c>
      <c r="F349" s="836" t="s">
        <v>758</v>
      </c>
    </row>
    <row r="350" spans="2:6" hidden="1" x14ac:dyDescent="0.45">
      <c r="B350" s="1053" t="s">
        <v>118</v>
      </c>
      <c r="C350" s="1054"/>
      <c r="D350" s="1054"/>
      <c r="E350" s="1054"/>
      <c r="F350" s="1055"/>
    </row>
    <row r="351" spans="2:6" ht="57" hidden="1" x14ac:dyDescent="0.45">
      <c r="B351" s="1022" t="s">
        <v>363</v>
      </c>
      <c r="C351" s="482" t="s">
        <v>369</v>
      </c>
      <c r="D351" s="774" t="s">
        <v>370</v>
      </c>
      <c r="E351" s="425" t="s">
        <v>376</v>
      </c>
      <c r="F351" s="842" t="s">
        <v>382</v>
      </c>
    </row>
    <row r="352" spans="2:6" ht="57" hidden="1" x14ac:dyDescent="0.45">
      <c r="B352" s="1022"/>
      <c r="C352" s="482" t="s">
        <v>364</v>
      </c>
      <c r="D352" s="774" t="s">
        <v>371</v>
      </c>
      <c r="E352" s="425" t="s">
        <v>377</v>
      </c>
      <c r="F352" s="842" t="s">
        <v>382</v>
      </c>
    </row>
    <row r="353" spans="2:6" ht="57" hidden="1" x14ac:dyDescent="0.45">
      <c r="B353" s="1022"/>
      <c r="C353" s="482" t="s">
        <v>365</v>
      </c>
      <c r="D353" s="774" t="s">
        <v>372</v>
      </c>
      <c r="E353" s="425" t="s">
        <v>378</v>
      </c>
      <c r="F353" s="842" t="s">
        <v>382</v>
      </c>
    </row>
    <row r="354" spans="2:6" ht="57" hidden="1" x14ac:dyDescent="0.45">
      <c r="B354" s="1022"/>
      <c r="C354" s="482" t="s">
        <v>366</v>
      </c>
      <c r="D354" s="774" t="s">
        <v>373</v>
      </c>
      <c r="E354" s="425" t="s">
        <v>379</v>
      </c>
      <c r="F354" s="842" t="s">
        <v>382</v>
      </c>
    </row>
    <row r="355" spans="2:6" ht="57" hidden="1" x14ac:dyDescent="0.45">
      <c r="B355" s="1022"/>
      <c r="C355" s="482" t="s">
        <v>367</v>
      </c>
      <c r="D355" s="774" t="s">
        <v>374</v>
      </c>
      <c r="E355" s="425" t="s">
        <v>380</v>
      </c>
      <c r="F355" s="842" t="s">
        <v>382</v>
      </c>
    </row>
    <row r="356" spans="2:6" ht="85.5" hidden="1" x14ac:dyDescent="0.45">
      <c r="B356" s="1022"/>
      <c r="C356" s="482" t="s">
        <v>368</v>
      </c>
      <c r="D356" s="774" t="s">
        <v>375</v>
      </c>
      <c r="E356" s="425" t="s">
        <v>381</v>
      </c>
      <c r="F356" s="842" t="s">
        <v>382</v>
      </c>
    </row>
    <row r="357" spans="2:6" ht="57" hidden="1" x14ac:dyDescent="0.45">
      <c r="B357" s="1028" t="s">
        <v>27</v>
      </c>
      <c r="C357" s="482" t="s">
        <v>319</v>
      </c>
      <c r="D357" s="770" t="s">
        <v>282</v>
      </c>
      <c r="E357" s="425" t="s">
        <v>67</v>
      </c>
      <c r="F357" s="842" t="s">
        <v>283</v>
      </c>
    </row>
    <row r="358" spans="2:6" ht="57" hidden="1" x14ac:dyDescent="0.45">
      <c r="B358" s="1028"/>
      <c r="C358" s="482" t="s">
        <v>562</v>
      </c>
      <c r="D358" s="770" t="s">
        <v>423</v>
      </c>
      <c r="E358" s="425" t="s">
        <v>429</v>
      </c>
      <c r="F358" s="842" t="s">
        <v>431</v>
      </c>
    </row>
    <row r="359" spans="2:6" ht="57" hidden="1" x14ac:dyDescent="0.45">
      <c r="B359" s="1028"/>
      <c r="C359" s="482" t="s">
        <v>427</v>
      </c>
      <c r="D359" s="770" t="s">
        <v>424</v>
      </c>
      <c r="E359" s="425" t="s">
        <v>430</v>
      </c>
      <c r="F359" s="842" t="s">
        <v>431</v>
      </c>
    </row>
    <row r="360" spans="2:6" ht="199.5" hidden="1" x14ac:dyDescent="0.45">
      <c r="B360" s="1028"/>
      <c r="C360" s="482" t="s">
        <v>420</v>
      </c>
      <c r="D360" s="770" t="s">
        <v>425</v>
      </c>
      <c r="E360" s="425" t="s">
        <v>421</v>
      </c>
      <c r="F360" s="842" t="s">
        <v>292</v>
      </c>
    </row>
    <row r="361" spans="2:6" ht="85.5" hidden="1" x14ac:dyDescent="0.45">
      <c r="B361" s="1028"/>
      <c r="C361" s="482" t="s">
        <v>422</v>
      </c>
      <c r="D361" s="770" t="s">
        <v>426</v>
      </c>
      <c r="E361" s="425" t="s">
        <v>428</v>
      </c>
      <c r="F361" s="842" t="s">
        <v>432</v>
      </c>
    </row>
    <row r="362" spans="2:6" hidden="1" x14ac:dyDescent="0.45">
      <c r="B362" s="1028"/>
      <c r="C362" s="448" t="s">
        <v>434</v>
      </c>
      <c r="D362" s="781" t="s">
        <v>284</v>
      </c>
      <c r="E362" s="413"/>
      <c r="F362" s="836"/>
    </row>
    <row r="363" spans="2:6" ht="57" hidden="1" x14ac:dyDescent="0.45">
      <c r="B363" s="1028" t="s">
        <v>1050</v>
      </c>
      <c r="C363" s="482" t="s">
        <v>294</v>
      </c>
      <c r="D363" s="770" t="s">
        <v>285</v>
      </c>
      <c r="E363" s="425" t="s">
        <v>74</v>
      </c>
      <c r="F363" s="842" t="s">
        <v>293</v>
      </c>
    </row>
    <row r="364" spans="2:6" ht="57" hidden="1" x14ac:dyDescent="0.45">
      <c r="B364" s="1028"/>
      <c r="C364" s="482" t="s">
        <v>523</v>
      </c>
      <c r="D364" s="770" t="s">
        <v>286</v>
      </c>
      <c r="E364" s="425" t="s">
        <v>73</v>
      </c>
      <c r="F364" s="842" t="s">
        <v>293</v>
      </c>
    </row>
    <row r="365" spans="2:6" hidden="1" x14ac:dyDescent="0.45">
      <c r="B365" s="1028"/>
      <c r="C365" s="482" t="s">
        <v>320</v>
      </c>
      <c r="D365" s="770" t="s">
        <v>287</v>
      </c>
      <c r="E365" s="425" t="s">
        <v>72</v>
      </c>
      <c r="F365" s="842" t="s">
        <v>293</v>
      </c>
    </row>
    <row r="366" spans="2:6" ht="85.5" hidden="1" x14ac:dyDescent="0.45">
      <c r="B366" s="1028"/>
      <c r="C366" s="482" t="s">
        <v>295</v>
      </c>
      <c r="D366" s="770" t="s">
        <v>288</v>
      </c>
      <c r="E366" s="425" t="s">
        <v>68</v>
      </c>
      <c r="F366" s="842"/>
    </row>
    <row r="367" spans="2:6" ht="57" hidden="1" x14ac:dyDescent="0.45">
      <c r="B367" s="1028"/>
      <c r="C367" s="482" t="s">
        <v>524</v>
      </c>
      <c r="D367" s="770" t="s">
        <v>289</v>
      </c>
      <c r="E367" s="425" t="s">
        <v>69</v>
      </c>
      <c r="F367" s="842" t="s">
        <v>293</v>
      </c>
    </row>
    <row r="368" spans="2:6" hidden="1" x14ac:dyDescent="0.45">
      <c r="B368" s="1028"/>
      <c r="C368" s="482" t="s">
        <v>296</v>
      </c>
      <c r="D368" s="770" t="s">
        <v>290</v>
      </c>
      <c r="E368" s="425" t="s">
        <v>70</v>
      </c>
      <c r="F368" s="842" t="s">
        <v>293</v>
      </c>
    </row>
    <row r="369" spans="2:39" hidden="1" x14ac:dyDescent="0.45">
      <c r="B369" s="1028"/>
      <c r="C369" s="482" t="s">
        <v>297</v>
      </c>
      <c r="D369" s="770" t="s">
        <v>291</v>
      </c>
      <c r="E369" s="425" t="s">
        <v>71</v>
      </c>
      <c r="F369" s="842" t="s">
        <v>293</v>
      </c>
    </row>
    <row r="370" spans="2:39" hidden="1" x14ac:dyDescent="0.45">
      <c r="B370" s="1053" t="s">
        <v>545</v>
      </c>
      <c r="C370" s="1054"/>
      <c r="D370" s="1054"/>
      <c r="E370" s="1054"/>
      <c r="F370" s="1055"/>
      <c r="G370" s="451"/>
      <c r="H370" s="451"/>
      <c r="I370" s="451"/>
      <c r="J370" s="451"/>
      <c r="K370" s="451"/>
      <c r="L370" s="451"/>
      <c r="M370" s="451"/>
      <c r="N370" s="451"/>
      <c r="O370" s="451"/>
      <c r="P370" s="451"/>
      <c r="Q370" s="451"/>
      <c r="R370" s="451"/>
      <c r="S370" s="451"/>
      <c r="T370" s="451"/>
      <c r="U370" s="451"/>
      <c r="V370" s="451"/>
      <c r="W370" s="451"/>
      <c r="X370" s="451"/>
      <c r="Y370" s="451"/>
      <c r="Z370" s="451"/>
      <c r="AA370" s="451"/>
      <c r="AB370" s="451"/>
      <c r="AC370" s="451"/>
      <c r="AD370" s="451"/>
      <c r="AE370" s="451"/>
      <c r="AF370" s="451"/>
      <c r="AG370" s="451"/>
      <c r="AH370" s="828"/>
      <c r="AI370" s="828"/>
      <c r="AJ370" s="828"/>
      <c r="AK370" s="828"/>
      <c r="AL370" s="828"/>
      <c r="AM370" s="828"/>
    </row>
    <row r="371" spans="2:39" ht="57" hidden="1" x14ac:dyDescent="0.45">
      <c r="B371" s="1081" t="s">
        <v>495</v>
      </c>
      <c r="C371" s="482" t="s">
        <v>496</v>
      </c>
      <c r="D371" s="770" t="s">
        <v>499</v>
      </c>
      <c r="E371" s="413" t="s">
        <v>772</v>
      </c>
      <c r="F371" s="836" t="s">
        <v>773</v>
      </c>
      <c r="G371" s="453"/>
      <c r="H371" s="453"/>
      <c r="I371" s="453"/>
      <c r="J371" s="453"/>
      <c r="K371" s="454"/>
      <c r="L371" s="454"/>
      <c r="M371" s="454"/>
      <c r="N371" s="454"/>
      <c r="O371" s="454"/>
      <c r="P371" s="454"/>
      <c r="Q371" s="454"/>
      <c r="R371" s="454"/>
      <c r="S371" s="454"/>
      <c r="T371" s="454"/>
      <c r="U371" s="454"/>
      <c r="V371" s="454"/>
      <c r="W371" s="454"/>
      <c r="X371" s="454"/>
      <c r="Y371" s="454"/>
      <c r="Z371" s="454"/>
      <c r="AA371" s="454"/>
      <c r="AB371" s="454"/>
      <c r="AC371" s="454"/>
      <c r="AD371" s="454"/>
      <c r="AE371" s="454"/>
      <c r="AF371" s="455"/>
      <c r="AG371" s="456"/>
      <c r="AH371" s="828"/>
      <c r="AI371" s="828"/>
      <c r="AJ371" s="828"/>
      <c r="AK371" s="828"/>
      <c r="AL371" s="828"/>
      <c r="AM371" s="828"/>
    </row>
    <row r="372" spans="2:39" ht="57" x14ac:dyDescent="0.45">
      <c r="B372" s="1081"/>
      <c r="C372" s="483" t="s">
        <v>522</v>
      </c>
      <c r="D372" s="770" t="s">
        <v>509</v>
      </c>
      <c r="E372" s="413" t="s">
        <v>774</v>
      </c>
      <c r="F372" s="836" t="s">
        <v>775</v>
      </c>
    </row>
    <row r="373" spans="2:39" ht="85.5" x14ac:dyDescent="0.45">
      <c r="B373" s="1081"/>
      <c r="C373" s="913" t="s">
        <v>1303</v>
      </c>
      <c r="D373" s="770" t="s">
        <v>941</v>
      </c>
      <c r="E373" s="413" t="s">
        <v>1329</v>
      </c>
      <c r="F373" s="836"/>
    </row>
    <row r="374" spans="2:39" x14ac:dyDescent="0.45">
      <c r="B374" s="1081"/>
      <c r="C374" s="440" t="s">
        <v>497</v>
      </c>
      <c r="D374" s="770" t="s">
        <v>510</v>
      </c>
      <c r="E374" s="413" t="s">
        <v>776</v>
      </c>
      <c r="F374" s="836"/>
    </row>
    <row r="375" spans="2:39" x14ac:dyDescent="0.45">
      <c r="B375" s="1081"/>
      <c r="C375" s="483" t="s">
        <v>519</v>
      </c>
      <c r="D375" s="770" t="s">
        <v>511</v>
      </c>
      <c r="E375" s="483" t="s">
        <v>777</v>
      </c>
      <c r="F375" s="836" t="s">
        <v>775</v>
      </c>
    </row>
    <row r="376" spans="2:39" ht="57" x14ac:dyDescent="0.45">
      <c r="B376" s="1081"/>
      <c r="C376" s="440" t="s">
        <v>498</v>
      </c>
      <c r="D376" s="770" t="s">
        <v>512</v>
      </c>
      <c r="E376" s="413" t="s">
        <v>778</v>
      </c>
      <c r="F376" s="836"/>
    </row>
    <row r="377" spans="2:39" ht="57" x14ac:dyDescent="0.45">
      <c r="B377" s="1081"/>
      <c r="C377" s="483" t="s">
        <v>521</v>
      </c>
      <c r="D377" s="770" t="s">
        <v>513</v>
      </c>
      <c r="E377" s="413" t="s">
        <v>779</v>
      </c>
      <c r="F377" s="836" t="s">
        <v>775</v>
      </c>
    </row>
    <row r="378" spans="2:39" ht="57" x14ac:dyDescent="0.45">
      <c r="B378" s="1081"/>
      <c r="C378" s="440" t="s">
        <v>514</v>
      </c>
      <c r="D378" s="770" t="s">
        <v>515</v>
      </c>
      <c r="E378" s="413" t="s">
        <v>780</v>
      </c>
      <c r="F378" s="836"/>
    </row>
    <row r="379" spans="2:39" ht="57" x14ac:dyDescent="0.45">
      <c r="B379" s="1081"/>
      <c r="C379" s="483" t="s">
        <v>518</v>
      </c>
      <c r="D379" s="770" t="s">
        <v>516</v>
      </c>
      <c r="E379" s="413" t="s">
        <v>781</v>
      </c>
      <c r="F379" s="836" t="s">
        <v>782</v>
      </c>
    </row>
    <row r="380" spans="2:39" ht="57" x14ac:dyDescent="0.45">
      <c r="B380" s="1081"/>
      <c r="C380" s="483" t="s">
        <v>520</v>
      </c>
      <c r="D380" s="770" t="s">
        <v>517</v>
      </c>
      <c r="E380" s="413" t="s">
        <v>783</v>
      </c>
      <c r="F380" s="836" t="s">
        <v>782</v>
      </c>
    </row>
    <row r="381" spans="2:39" ht="57" x14ac:dyDescent="0.45">
      <c r="B381" s="1081"/>
      <c r="C381" s="440" t="s">
        <v>526</v>
      </c>
      <c r="D381" s="770" t="s">
        <v>525</v>
      </c>
      <c r="E381" s="413" t="s">
        <v>784</v>
      </c>
      <c r="F381" s="836"/>
    </row>
    <row r="382" spans="2:39" ht="29.25" thickBot="1" x14ac:dyDescent="0.5">
      <c r="B382" s="858" t="s">
        <v>918</v>
      </c>
      <c r="C382" s="450"/>
      <c r="D382" s="450"/>
      <c r="E382" s="449"/>
      <c r="F382" s="859"/>
    </row>
    <row r="383" spans="2:39" ht="57.75" hidden="1" thickBot="1" x14ac:dyDescent="0.5">
      <c r="B383" s="860" t="s">
        <v>920</v>
      </c>
      <c r="C383" s="483" t="s">
        <v>919</v>
      </c>
      <c r="D383" s="770" t="s">
        <v>917</v>
      </c>
      <c r="E383" s="498" t="s">
        <v>926</v>
      </c>
      <c r="F383" s="847" t="s">
        <v>927</v>
      </c>
    </row>
    <row r="384" spans="2:39" x14ac:dyDescent="0.45">
      <c r="B384" s="1090" t="s">
        <v>109</v>
      </c>
      <c r="C384" s="475" t="s">
        <v>138</v>
      </c>
      <c r="D384" s="718" t="s">
        <v>1053</v>
      </c>
      <c r="E384" s="499"/>
      <c r="F384" s="861"/>
    </row>
    <row r="385" spans="2:6" x14ac:dyDescent="0.45">
      <c r="B385" s="1091"/>
      <c r="C385" s="472" t="s">
        <v>1075</v>
      </c>
      <c r="D385" s="719" t="s">
        <v>1054</v>
      </c>
      <c r="E385" s="499"/>
      <c r="F385" s="861"/>
    </row>
    <row r="386" spans="2:6" x14ac:dyDescent="0.45">
      <c r="B386" s="1091"/>
      <c r="C386" s="472" t="s">
        <v>1056</v>
      </c>
      <c r="D386" s="719" t="s">
        <v>1055</v>
      </c>
      <c r="E386" s="499"/>
      <c r="F386" s="861"/>
    </row>
    <row r="387" spans="2:6" ht="52.5" x14ac:dyDescent="0.45">
      <c r="B387" s="1091"/>
      <c r="C387" s="472" t="s">
        <v>1058</v>
      </c>
      <c r="D387" s="719" t="s">
        <v>1057</v>
      </c>
      <c r="E387" s="499"/>
      <c r="F387" s="861"/>
    </row>
    <row r="388" spans="2:6" ht="29.25" thickBot="1" x14ac:dyDescent="0.5">
      <c r="B388" s="1092"/>
      <c r="C388" s="476" t="s">
        <v>1060</v>
      </c>
      <c r="D388" s="720" t="s">
        <v>1059</v>
      </c>
      <c r="E388" s="499"/>
      <c r="F388" s="861"/>
    </row>
    <row r="389" spans="2:6" x14ac:dyDescent="0.45">
      <c r="B389" s="1090" t="s">
        <v>13</v>
      </c>
      <c r="C389" s="475" t="s">
        <v>138</v>
      </c>
      <c r="D389" s="718" t="s">
        <v>1061</v>
      </c>
      <c r="E389" s="499"/>
      <c r="F389" s="861"/>
    </row>
    <row r="390" spans="2:6" x14ac:dyDescent="0.45">
      <c r="B390" s="1091"/>
      <c r="C390" s="472" t="s">
        <v>1075</v>
      </c>
      <c r="D390" s="719" t="s">
        <v>1062</v>
      </c>
      <c r="E390" s="499"/>
      <c r="F390" s="861"/>
    </row>
    <row r="391" spans="2:6" x14ac:dyDescent="0.45">
      <c r="B391" s="1091"/>
      <c r="C391" s="472" t="s">
        <v>1056</v>
      </c>
      <c r="D391" s="719" t="s">
        <v>1063</v>
      </c>
      <c r="E391" s="499"/>
      <c r="F391" s="861"/>
    </row>
    <row r="392" spans="2:6" ht="52.5" x14ac:dyDescent="0.45">
      <c r="B392" s="1091"/>
      <c r="C392" s="472" t="s">
        <v>1058</v>
      </c>
      <c r="D392" s="719" t="s">
        <v>1064</v>
      </c>
      <c r="E392" s="499"/>
      <c r="F392" s="861"/>
    </row>
    <row r="393" spans="2:6" ht="29.25" thickBot="1" x14ac:dyDescent="0.5">
      <c r="B393" s="1092"/>
      <c r="C393" s="476" t="s">
        <v>1060</v>
      </c>
      <c r="D393" s="720" t="s">
        <v>1065</v>
      </c>
      <c r="E393" s="499"/>
      <c r="F393" s="861"/>
    </row>
    <row r="394" spans="2:6" x14ac:dyDescent="0.45">
      <c r="B394" s="1090" t="s">
        <v>14</v>
      </c>
      <c r="C394" s="475" t="s">
        <v>138</v>
      </c>
      <c r="D394" s="718" t="s">
        <v>1066</v>
      </c>
      <c r="E394" s="499"/>
      <c r="F394" s="861"/>
    </row>
    <row r="395" spans="2:6" x14ac:dyDescent="0.45">
      <c r="B395" s="1091"/>
      <c r="C395" s="472" t="s">
        <v>1075</v>
      </c>
      <c r="D395" s="719" t="s">
        <v>1067</v>
      </c>
      <c r="E395" s="499"/>
      <c r="F395" s="861"/>
    </row>
    <row r="396" spans="2:6" x14ac:dyDescent="0.45">
      <c r="B396" s="1091"/>
      <c r="C396" s="472" t="s">
        <v>1056</v>
      </c>
      <c r="D396" s="719" t="s">
        <v>1068</v>
      </c>
      <c r="E396" s="499"/>
      <c r="F396" s="861"/>
    </row>
    <row r="397" spans="2:6" ht="52.5" x14ac:dyDescent="0.45">
      <c r="B397" s="1091"/>
      <c r="C397" s="472" t="s">
        <v>1058</v>
      </c>
      <c r="D397" s="719" t="s">
        <v>1069</v>
      </c>
      <c r="E397" s="499"/>
      <c r="F397" s="861"/>
    </row>
    <row r="398" spans="2:6" ht="29.25" thickBot="1" x14ac:dyDescent="0.5">
      <c r="B398" s="1092"/>
      <c r="C398" s="476" t="s">
        <v>1060</v>
      </c>
      <c r="D398" s="720" t="s">
        <v>1070</v>
      </c>
      <c r="E398" s="499"/>
      <c r="F398" s="861"/>
    </row>
    <row r="399" spans="2:6" x14ac:dyDescent="0.45">
      <c r="B399" s="1090" t="s">
        <v>15</v>
      </c>
      <c r="C399" s="475" t="s">
        <v>138</v>
      </c>
      <c r="D399" s="718" t="s">
        <v>1071</v>
      </c>
      <c r="E399" s="499"/>
      <c r="F399" s="861"/>
    </row>
    <row r="400" spans="2:6" x14ac:dyDescent="0.45">
      <c r="B400" s="1091"/>
      <c r="C400" s="472" t="s">
        <v>1075</v>
      </c>
      <c r="D400" s="719" t="s">
        <v>1072</v>
      </c>
      <c r="E400" s="499"/>
      <c r="F400" s="861"/>
    </row>
    <row r="401" spans="2:6" x14ac:dyDescent="0.45">
      <c r="B401" s="1091"/>
      <c r="C401" s="472" t="s">
        <v>1056</v>
      </c>
      <c r="D401" s="719" t="s">
        <v>1073</v>
      </c>
      <c r="E401" s="499"/>
      <c r="F401" s="861"/>
    </row>
    <row r="402" spans="2:6" ht="52.5" x14ac:dyDescent="0.45">
      <c r="B402" s="1091"/>
      <c r="C402" s="472" t="s">
        <v>1058</v>
      </c>
      <c r="D402" s="719" t="s">
        <v>1074</v>
      </c>
      <c r="E402" s="499"/>
      <c r="F402" s="861"/>
    </row>
    <row r="403" spans="2:6" ht="29.25" thickBot="1" x14ac:dyDescent="0.5">
      <c r="B403" s="1092"/>
      <c r="C403" s="476" t="s">
        <v>1060</v>
      </c>
      <c r="D403" s="720" t="s">
        <v>1080</v>
      </c>
      <c r="E403" s="499"/>
      <c r="F403" s="861"/>
    </row>
    <row r="404" spans="2:6" x14ac:dyDescent="0.45">
      <c r="B404" s="1090" t="s">
        <v>1076</v>
      </c>
      <c r="C404" s="475" t="s">
        <v>138</v>
      </c>
      <c r="D404" s="718" t="s">
        <v>1081</v>
      </c>
      <c r="E404" s="499"/>
      <c r="F404" s="861"/>
    </row>
    <row r="405" spans="2:6" x14ac:dyDescent="0.45">
      <c r="B405" s="1091"/>
      <c r="C405" s="472" t="s">
        <v>1075</v>
      </c>
      <c r="D405" s="719" t="s">
        <v>1082</v>
      </c>
      <c r="E405" s="499"/>
      <c r="F405" s="861"/>
    </row>
    <row r="406" spans="2:6" x14ac:dyDescent="0.45">
      <c r="B406" s="1091"/>
      <c r="C406" s="472" t="s">
        <v>1056</v>
      </c>
      <c r="D406" s="719" t="s">
        <v>1083</v>
      </c>
      <c r="E406" s="499"/>
      <c r="F406" s="861"/>
    </row>
    <row r="407" spans="2:6" ht="52.5" x14ac:dyDescent="0.45">
      <c r="B407" s="1091"/>
      <c r="C407" s="472" t="s">
        <v>1058</v>
      </c>
      <c r="D407" s="719" t="s">
        <v>1084</v>
      </c>
      <c r="E407" s="499"/>
      <c r="F407" s="861"/>
    </row>
    <row r="408" spans="2:6" ht="29.25" thickBot="1" x14ac:dyDescent="0.5">
      <c r="B408" s="1092"/>
      <c r="C408" s="476" t="s">
        <v>1060</v>
      </c>
      <c r="D408" s="720" t="s">
        <v>1085</v>
      </c>
      <c r="E408" s="499"/>
      <c r="F408" s="861"/>
    </row>
    <row r="409" spans="2:6" x14ac:dyDescent="0.45">
      <c r="B409" s="1090" t="s">
        <v>16</v>
      </c>
      <c r="C409" s="475" t="s">
        <v>138</v>
      </c>
      <c r="D409" s="718" t="s">
        <v>1086</v>
      </c>
      <c r="E409" s="499"/>
      <c r="F409" s="861"/>
    </row>
    <row r="410" spans="2:6" x14ac:dyDescent="0.45">
      <c r="B410" s="1091"/>
      <c r="C410" s="472" t="s">
        <v>1075</v>
      </c>
      <c r="D410" s="719" t="s">
        <v>1087</v>
      </c>
      <c r="E410" s="499"/>
      <c r="F410" s="861"/>
    </row>
    <row r="411" spans="2:6" x14ac:dyDescent="0.45">
      <c r="B411" s="1091"/>
      <c r="C411" s="472" t="s">
        <v>1056</v>
      </c>
      <c r="D411" s="719" t="s">
        <v>1088</v>
      </c>
      <c r="E411" s="499"/>
      <c r="F411" s="861"/>
    </row>
    <row r="412" spans="2:6" ht="52.5" x14ac:dyDescent="0.45">
      <c r="B412" s="1091"/>
      <c r="C412" s="472" t="s">
        <v>1058</v>
      </c>
      <c r="D412" s="719" t="s">
        <v>1089</v>
      </c>
      <c r="E412" s="499"/>
      <c r="F412" s="861"/>
    </row>
    <row r="413" spans="2:6" ht="29.25" thickBot="1" x14ac:dyDescent="0.5">
      <c r="B413" s="1092"/>
      <c r="C413" s="476" t="s">
        <v>1060</v>
      </c>
      <c r="D413" s="720" t="s">
        <v>1090</v>
      </c>
      <c r="E413" s="499"/>
      <c r="F413" s="861"/>
    </row>
    <row r="414" spans="2:6" x14ac:dyDescent="0.45">
      <c r="B414" s="1090" t="s">
        <v>1077</v>
      </c>
      <c r="C414" s="475" t="s">
        <v>138</v>
      </c>
      <c r="D414" s="718" t="s">
        <v>1091</v>
      </c>
      <c r="E414" s="499"/>
      <c r="F414" s="861"/>
    </row>
    <row r="415" spans="2:6" x14ac:dyDescent="0.45">
      <c r="B415" s="1091"/>
      <c r="C415" s="472" t="s">
        <v>1075</v>
      </c>
      <c r="D415" s="719" t="s">
        <v>1092</v>
      </c>
      <c r="E415" s="499"/>
      <c r="F415" s="861"/>
    </row>
    <row r="416" spans="2:6" x14ac:dyDescent="0.45">
      <c r="B416" s="1091"/>
      <c r="C416" s="472" t="s">
        <v>1056</v>
      </c>
      <c r="D416" s="719" t="s">
        <v>1093</v>
      </c>
      <c r="E416" s="499"/>
      <c r="F416" s="861"/>
    </row>
    <row r="417" spans="2:6" ht="52.5" x14ac:dyDescent="0.45">
      <c r="B417" s="1091"/>
      <c r="C417" s="472" t="s">
        <v>1058</v>
      </c>
      <c r="D417" s="719" t="s">
        <v>1094</v>
      </c>
      <c r="E417" s="499"/>
      <c r="F417" s="861"/>
    </row>
    <row r="418" spans="2:6" ht="29.25" thickBot="1" x14ac:dyDescent="0.5">
      <c r="B418" s="1092"/>
      <c r="C418" s="476" t="s">
        <v>1060</v>
      </c>
      <c r="D418" s="720" t="s">
        <v>1095</v>
      </c>
      <c r="E418" s="499"/>
      <c r="F418" s="861"/>
    </row>
    <row r="419" spans="2:6" x14ac:dyDescent="0.45">
      <c r="B419" s="1090" t="s">
        <v>22</v>
      </c>
      <c r="C419" s="475" t="s">
        <v>138</v>
      </c>
      <c r="D419" s="718" t="s">
        <v>1096</v>
      </c>
      <c r="E419" s="499"/>
      <c r="F419" s="861"/>
    </row>
    <row r="420" spans="2:6" x14ac:dyDescent="0.45">
      <c r="B420" s="1091"/>
      <c r="C420" s="472" t="s">
        <v>1075</v>
      </c>
      <c r="D420" s="719" t="s">
        <v>1097</v>
      </c>
      <c r="E420" s="499"/>
      <c r="F420" s="861"/>
    </row>
    <row r="421" spans="2:6" x14ac:dyDescent="0.45">
      <c r="B421" s="1091"/>
      <c r="C421" s="472" t="s">
        <v>1056</v>
      </c>
      <c r="D421" s="719" t="s">
        <v>1098</v>
      </c>
      <c r="E421" s="499"/>
      <c r="F421" s="861"/>
    </row>
    <row r="422" spans="2:6" ht="52.5" x14ac:dyDescent="0.45">
      <c r="B422" s="1091"/>
      <c r="C422" s="472" t="s">
        <v>1058</v>
      </c>
      <c r="D422" s="719" t="s">
        <v>1099</v>
      </c>
      <c r="E422" s="499"/>
      <c r="F422" s="861"/>
    </row>
    <row r="423" spans="2:6" ht="29.25" thickBot="1" x14ac:dyDescent="0.5">
      <c r="B423" s="1092"/>
      <c r="C423" s="476" t="s">
        <v>1060</v>
      </c>
      <c r="D423" s="720" t="s">
        <v>1100</v>
      </c>
      <c r="E423" s="499"/>
      <c r="F423" s="861"/>
    </row>
    <row r="424" spans="2:6" x14ac:dyDescent="0.45">
      <c r="B424" s="1090" t="s">
        <v>18</v>
      </c>
      <c r="C424" s="475" t="s">
        <v>138</v>
      </c>
      <c r="D424" s="718" t="s">
        <v>1101</v>
      </c>
      <c r="E424" s="499"/>
      <c r="F424" s="861"/>
    </row>
    <row r="425" spans="2:6" x14ac:dyDescent="0.45">
      <c r="B425" s="1091"/>
      <c r="C425" s="472" t="s">
        <v>1075</v>
      </c>
      <c r="D425" s="719" t="s">
        <v>1102</v>
      </c>
      <c r="E425" s="499"/>
      <c r="F425" s="861"/>
    </row>
    <row r="426" spans="2:6" x14ac:dyDescent="0.45">
      <c r="B426" s="1091"/>
      <c r="C426" s="472" t="s">
        <v>1056</v>
      </c>
      <c r="D426" s="719" t="s">
        <v>1103</v>
      </c>
      <c r="E426" s="499"/>
      <c r="F426" s="861"/>
    </row>
    <row r="427" spans="2:6" ht="52.5" x14ac:dyDescent="0.45">
      <c r="B427" s="1091"/>
      <c r="C427" s="472" t="s">
        <v>1058</v>
      </c>
      <c r="D427" s="719" t="s">
        <v>1104</v>
      </c>
      <c r="E427" s="499"/>
      <c r="F427" s="861"/>
    </row>
    <row r="428" spans="2:6" ht="29.25" thickBot="1" x14ac:dyDescent="0.5">
      <c r="B428" s="1092"/>
      <c r="C428" s="476" t="s">
        <v>1060</v>
      </c>
      <c r="D428" s="720" t="s">
        <v>1105</v>
      </c>
      <c r="E428" s="499"/>
      <c r="F428" s="861"/>
    </row>
    <row r="429" spans="2:6" x14ac:dyDescent="0.45">
      <c r="B429" s="1090" t="s">
        <v>998</v>
      </c>
      <c r="C429" s="475" t="s">
        <v>138</v>
      </c>
      <c r="D429" s="718" t="s">
        <v>1106</v>
      </c>
      <c r="E429" s="499"/>
      <c r="F429" s="861"/>
    </row>
    <row r="430" spans="2:6" x14ac:dyDescent="0.45">
      <c r="B430" s="1091"/>
      <c r="C430" s="472" t="s">
        <v>1075</v>
      </c>
      <c r="D430" s="719" t="s">
        <v>1107</v>
      </c>
      <c r="E430" s="499"/>
      <c r="F430" s="861"/>
    </row>
    <row r="431" spans="2:6" x14ac:dyDescent="0.45">
      <c r="B431" s="1091"/>
      <c r="C431" s="472" t="s">
        <v>1056</v>
      </c>
      <c r="D431" s="719" t="s">
        <v>1108</v>
      </c>
      <c r="E431" s="499"/>
      <c r="F431" s="861"/>
    </row>
    <row r="432" spans="2:6" ht="52.5" x14ac:dyDescent="0.45">
      <c r="B432" s="1091"/>
      <c r="C432" s="472" t="s">
        <v>1058</v>
      </c>
      <c r="D432" s="719" t="s">
        <v>1109</v>
      </c>
      <c r="E432" s="499"/>
      <c r="F432" s="861"/>
    </row>
    <row r="433" spans="2:6" ht="29.25" thickBot="1" x14ac:dyDescent="0.5">
      <c r="B433" s="1092"/>
      <c r="C433" s="476" t="s">
        <v>1060</v>
      </c>
      <c r="D433" s="720" t="s">
        <v>1110</v>
      </c>
      <c r="E433" s="499"/>
      <c r="F433" s="861"/>
    </row>
    <row r="434" spans="2:6" x14ac:dyDescent="0.45">
      <c r="B434" s="1090" t="s">
        <v>1078</v>
      </c>
      <c r="C434" s="475" t="s">
        <v>138</v>
      </c>
      <c r="D434" s="718" t="s">
        <v>1111</v>
      </c>
      <c r="E434" s="499"/>
      <c r="F434" s="861"/>
    </row>
    <row r="435" spans="2:6" x14ac:dyDescent="0.45">
      <c r="B435" s="1091"/>
      <c r="C435" s="472" t="s">
        <v>1075</v>
      </c>
      <c r="D435" s="719" t="s">
        <v>1112</v>
      </c>
      <c r="E435" s="499"/>
      <c r="F435" s="861"/>
    </row>
    <row r="436" spans="2:6" x14ac:dyDescent="0.45">
      <c r="B436" s="1091"/>
      <c r="C436" s="472" t="s">
        <v>1056</v>
      </c>
      <c r="D436" s="719" t="s">
        <v>1113</v>
      </c>
      <c r="E436" s="499"/>
      <c r="F436" s="861"/>
    </row>
    <row r="437" spans="2:6" ht="52.5" x14ac:dyDescent="0.45">
      <c r="B437" s="1091"/>
      <c r="C437" s="472" t="s">
        <v>1058</v>
      </c>
      <c r="D437" s="719" t="s">
        <v>1114</v>
      </c>
      <c r="E437" s="499"/>
      <c r="F437" s="861"/>
    </row>
    <row r="438" spans="2:6" ht="29.25" thickBot="1" x14ac:dyDescent="0.5">
      <c r="B438" s="1092"/>
      <c r="C438" s="476" t="s">
        <v>1060</v>
      </c>
      <c r="D438" s="720" t="s">
        <v>1115</v>
      </c>
      <c r="E438" s="499"/>
      <c r="F438" s="861"/>
    </row>
    <row r="439" spans="2:6" x14ac:dyDescent="0.45">
      <c r="B439" s="1090" t="s">
        <v>1079</v>
      </c>
      <c r="C439" s="475" t="s">
        <v>138</v>
      </c>
      <c r="D439" s="718" t="s">
        <v>1116</v>
      </c>
      <c r="E439" s="499"/>
      <c r="F439" s="861"/>
    </row>
    <row r="440" spans="2:6" x14ac:dyDescent="0.45">
      <c r="B440" s="1091"/>
      <c r="C440" s="472" t="s">
        <v>1075</v>
      </c>
      <c r="D440" s="719" t="s">
        <v>1117</v>
      </c>
      <c r="E440" s="499"/>
      <c r="F440" s="861"/>
    </row>
    <row r="441" spans="2:6" x14ac:dyDescent="0.45">
      <c r="B441" s="1091"/>
      <c r="C441" s="472" t="s">
        <v>1056</v>
      </c>
      <c r="D441" s="719" t="s">
        <v>1118</v>
      </c>
      <c r="E441" s="499"/>
      <c r="F441" s="861"/>
    </row>
    <row r="442" spans="2:6" ht="52.5" x14ac:dyDescent="0.45">
      <c r="B442" s="1091"/>
      <c r="C442" s="472" t="s">
        <v>1058</v>
      </c>
      <c r="D442" s="719" t="s">
        <v>1119</v>
      </c>
      <c r="E442" s="499"/>
      <c r="F442" s="861"/>
    </row>
    <row r="443" spans="2:6" ht="29.25" thickBot="1" x14ac:dyDescent="0.5">
      <c r="B443" s="1092"/>
      <c r="C443" s="476" t="s">
        <v>1060</v>
      </c>
      <c r="D443" s="720" t="s">
        <v>1120</v>
      </c>
      <c r="E443" s="499"/>
      <c r="F443" s="861"/>
    </row>
    <row r="444" spans="2:6" x14ac:dyDescent="0.45">
      <c r="B444" s="1090" t="s">
        <v>1126</v>
      </c>
      <c r="C444" s="475" t="s">
        <v>138</v>
      </c>
      <c r="D444" s="718" t="s">
        <v>1121</v>
      </c>
      <c r="E444" s="499"/>
      <c r="F444" s="861"/>
    </row>
    <row r="445" spans="2:6" x14ac:dyDescent="0.45">
      <c r="B445" s="1091"/>
      <c r="C445" s="472" t="s">
        <v>1075</v>
      </c>
      <c r="D445" s="719" t="s">
        <v>1122</v>
      </c>
      <c r="E445" s="499"/>
      <c r="F445" s="861"/>
    </row>
    <row r="446" spans="2:6" x14ac:dyDescent="0.45">
      <c r="B446" s="1091"/>
      <c r="C446" s="472" t="s">
        <v>1056</v>
      </c>
      <c r="D446" s="719" t="s">
        <v>1123</v>
      </c>
      <c r="E446" s="499"/>
      <c r="F446" s="861"/>
    </row>
    <row r="447" spans="2:6" ht="52.5" x14ac:dyDescent="0.45">
      <c r="B447" s="1091"/>
      <c r="C447" s="472" t="s">
        <v>1058</v>
      </c>
      <c r="D447" s="719" t="s">
        <v>1124</v>
      </c>
      <c r="E447" s="499"/>
      <c r="F447" s="861"/>
    </row>
    <row r="448" spans="2:6" ht="29.25" thickBot="1" x14ac:dyDescent="0.5">
      <c r="B448" s="1092"/>
      <c r="C448" s="476" t="s">
        <v>1060</v>
      </c>
      <c r="D448" s="720" t="s">
        <v>1125</v>
      </c>
      <c r="E448" s="862"/>
      <c r="F448" s="863"/>
    </row>
  </sheetData>
  <autoFilter ref="B2:F381"/>
  <mergeCells count="122">
    <mergeCell ref="B129:B130"/>
    <mergeCell ref="B131:B132"/>
    <mergeCell ref="B231:B232"/>
    <mergeCell ref="B139:B141"/>
    <mergeCell ref="B305:B308"/>
    <mergeCell ref="B340:B341"/>
    <mergeCell ref="B337:B339"/>
    <mergeCell ref="B325:B336"/>
    <mergeCell ref="B160:B161"/>
    <mergeCell ref="B162:B163"/>
    <mergeCell ref="B164:B165"/>
    <mergeCell ref="B166:B167"/>
    <mergeCell ref="B168:B169"/>
    <mergeCell ref="B170:B171"/>
    <mergeCell ref="B257:B260"/>
    <mergeCell ref="B269:B270"/>
    <mergeCell ref="B271:B273"/>
    <mergeCell ref="B144:F144"/>
    <mergeCell ref="B158:F158"/>
    <mergeCell ref="B233:B234"/>
    <mergeCell ref="B235:B241"/>
    <mergeCell ref="B242:B245"/>
    <mergeCell ref="B434:B438"/>
    <mergeCell ref="B439:B443"/>
    <mergeCell ref="B444:B448"/>
    <mergeCell ref="B317:B324"/>
    <mergeCell ref="B280:F280"/>
    <mergeCell ref="B281:B283"/>
    <mergeCell ref="B284:B285"/>
    <mergeCell ref="B286:B287"/>
    <mergeCell ref="B293:B295"/>
    <mergeCell ref="B296:F296"/>
    <mergeCell ref="B298:B303"/>
    <mergeCell ref="B309:B310"/>
    <mergeCell ref="B311:B316"/>
    <mergeCell ref="B409:B413"/>
    <mergeCell ref="B414:B418"/>
    <mergeCell ref="B419:B423"/>
    <mergeCell ref="B424:B428"/>
    <mergeCell ref="B429:B433"/>
    <mergeCell ref="B384:B388"/>
    <mergeCell ref="B389:B393"/>
    <mergeCell ref="B394:B398"/>
    <mergeCell ref="B399:B403"/>
    <mergeCell ref="B404:B408"/>
    <mergeCell ref="B370:F370"/>
    <mergeCell ref="B371:B381"/>
    <mergeCell ref="B246:F246"/>
    <mergeCell ref="B247:B252"/>
    <mergeCell ref="B253:B256"/>
    <mergeCell ref="B342:B349"/>
    <mergeCell ref="B350:F350"/>
    <mergeCell ref="B351:B356"/>
    <mergeCell ref="B357:B362"/>
    <mergeCell ref="B363:B369"/>
    <mergeCell ref="B261:B268"/>
    <mergeCell ref="B288:B291"/>
    <mergeCell ref="B274:B276"/>
    <mergeCell ref="B277:B279"/>
    <mergeCell ref="B5:B7"/>
    <mergeCell ref="B14:F14"/>
    <mergeCell ref="B15:B25"/>
    <mergeCell ref="B81:B84"/>
    <mergeCell ref="B57:B60"/>
    <mergeCell ref="B61:B64"/>
    <mergeCell ref="B26:B27"/>
    <mergeCell ref="B28:B29"/>
    <mergeCell ref="B30:B31"/>
    <mergeCell ref="B32:B33"/>
    <mergeCell ref="B34:B35"/>
    <mergeCell ref="B36:B37"/>
    <mergeCell ref="B8:B10"/>
    <mergeCell ref="B11:B13"/>
    <mergeCell ref="B56:F56"/>
    <mergeCell ref="B120:B121"/>
    <mergeCell ref="B122:B123"/>
    <mergeCell ref="B124:B126"/>
    <mergeCell ref="B1:E1"/>
    <mergeCell ref="B204:B212"/>
    <mergeCell ref="B213:B221"/>
    <mergeCell ref="B222:B230"/>
    <mergeCell ref="B195:B203"/>
    <mergeCell ref="B194:F194"/>
    <mergeCell ref="B143:F143"/>
    <mergeCell ref="B146:B147"/>
    <mergeCell ref="B148:B149"/>
    <mergeCell ref="B150:B151"/>
    <mergeCell ref="B152:B153"/>
    <mergeCell ref="B154:B155"/>
    <mergeCell ref="B156:B157"/>
    <mergeCell ref="B172:F172"/>
    <mergeCell ref="B173:B179"/>
    <mergeCell ref="B180:B186"/>
    <mergeCell ref="B187:B193"/>
    <mergeCell ref="B133:B134"/>
    <mergeCell ref="B40:B41"/>
    <mergeCell ref="B42:B43"/>
    <mergeCell ref="B4:F4"/>
    <mergeCell ref="G147:N147"/>
    <mergeCell ref="B38:B39"/>
    <mergeCell ref="B85:B88"/>
    <mergeCell ref="B89:B92"/>
    <mergeCell ref="B93:B96"/>
    <mergeCell ref="B114:B119"/>
    <mergeCell ref="B104:B105"/>
    <mergeCell ref="B97:F97"/>
    <mergeCell ref="B98:B103"/>
    <mergeCell ref="B108:F108"/>
    <mergeCell ref="B109:B112"/>
    <mergeCell ref="B47:B48"/>
    <mergeCell ref="B49:B50"/>
    <mergeCell ref="B77:B80"/>
    <mergeCell ref="B65:B68"/>
    <mergeCell ref="B69:B72"/>
    <mergeCell ref="B73:B76"/>
    <mergeCell ref="B51:F51"/>
    <mergeCell ref="B52:B53"/>
    <mergeCell ref="B54:B55"/>
    <mergeCell ref="B106:B107"/>
    <mergeCell ref="B44:B46"/>
    <mergeCell ref="B135:B136"/>
    <mergeCell ref="B137:B138"/>
  </mergeCells>
  <phoneticPr fontId="3" type="noConversion"/>
  <conditionalFormatting sqref="C279">
    <cfRule type="cellIs" dxfId="1975" priority="149" operator="equal">
      <formula>0</formula>
    </cfRule>
  </conditionalFormatting>
  <conditionalFormatting sqref="F195">
    <cfRule type="cellIs" dxfId="1974" priority="156" operator="equal">
      <formula>0</formula>
    </cfRule>
  </conditionalFormatting>
  <conditionalFormatting sqref="D195:D230">
    <cfRule type="duplicateValues" dxfId="1973" priority="151"/>
  </conditionalFormatting>
  <conditionalFormatting sqref="D195:D230">
    <cfRule type="duplicateValues" dxfId="1972" priority="152"/>
  </conditionalFormatting>
  <conditionalFormatting sqref="D195:D230">
    <cfRule type="duplicateValues" dxfId="1971" priority="150"/>
  </conditionalFormatting>
  <conditionalFormatting sqref="K371:AA371">
    <cfRule type="expression" dxfId="1970" priority="146">
      <formula>K371&gt;K369</formula>
    </cfRule>
  </conditionalFormatting>
  <conditionalFormatting sqref="AF371">
    <cfRule type="notContainsBlanks" dxfId="1969" priority="148">
      <formula>LEN(TRIM(AF371))&gt;0</formula>
    </cfRule>
  </conditionalFormatting>
  <conditionalFormatting sqref="K371:AA371">
    <cfRule type="expression" dxfId="1968" priority="144">
      <formula>K369&gt;K371</formula>
    </cfRule>
  </conditionalFormatting>
  <conditionalFormatting sqref="AB371:AE371">
    <cfRule type="expression" dxfId="1967" priority="143">
      <formula>AB371&gt;AB369</formula>
    </cfRule>
  </conditionalFormatting>
  <conditionalFormatting sqref="AB371:AE371">
    <cfRule type="expression" dxfId="1966" priority="142">
      <formula>AB369&gt;AB371</formula>
    </cfRule>
  </conditionalFormatting>
  <conditionalFormatting sqref="D45:D46">
    <cfRule type="duplicateValues" dxfId="1965" priority="141"/>
  </conditionalFormatting>
  <conditionalFormatting sqref="D45:D46">
    <cfRule type="duplicateValues" dxfId="1964" priority="140"/>
  </conditionalFormatting>
  <conditionalFormatting sqref="D45:D46">
    <cfRule type="duplicateValues" dxfId="1963" priority="139"/>
  </conditionalFormatting>
  <conditionalFormatting sqref="D45:D46">
    <cfRule type="duplicateValues" dxfId="1962" priority="138"/>
  </conditionalFormatting>
  <conditionalFormatting sqref="D128">
    <cfRule type="duplicateValues" dxfId="1961" priority="116"/>
  </conditionalFormatting>
  <conditionalFormatting sqref="D24">
    <cfRule type="duplicateValues" dxfId="1960" priority="112"/>
  </conditionalFormatting>
  <conditionalFormatting sqref="D24">
    <cfRule type="duplicateValues" dxfId="1959" priority="111"/>
  </conditionalFormatting>
  <conditionalFormatting sqref="D24">
    <cfRule type="duplicateValues" dxfId="1958" priority="110"/>
  </conditionalFormatting>
  <conditionalFormatting sqref="D24">
    <cfRule type="duplicateValues" dxfId="1957" priority="109"/>
  </conditionalFormatting>
  <conditionalFormatting sqref="D24">
    <cfRule type="duplicateValues" dxfId="1956" priority="108"/>
  </conditionalFormatting>
  <conditionalFormatting sqref="D24">
    <cfRule type="duplicateValues" dxfId="1955" priority="105"/>
    <cfRule type="duplicateValues" dxfId="1954" priority="107"/>
  </conditionalFormatting>
  <conditionalFormatting sqref="D24">
    <cfRule type="duplicateValues" dxfId="1953" priority="106"/>
  </conditionalFormatting>
  <conditionalFormatting sqref="D47:D48">
    <cfRule type="duplicateValues" dxfId="1952" priority="104"/>
  </conditionalFormatting>
  <conditionalFormatting sqref="D47:D48">
    <cfRule type="duplicateValues" dxfId="1951" priority="103"/>
  </conditionalFormatting>
  <conditionalFormatting sqref="D49:D50">
    <cfRule type="duplicateValues" dxfId="1950" priority="101"/>
  </conditionalFormatting>
  <conditionalFormatting sqref="D47:D50">
    <cfRule type="duplicateValues" dxfId="1949" priority="99"/>
  </conditionalFormatting>
  <conditionalFormatting sqref="D47:D50">
    <cfRule type="duplicateValues" dxfId="1948" priority="98"/>
  </conditionalFormatting>
  <conditionalFormatting sqref="D47:D50">
    <cfRule type="duplicateValues" dxfId="1947" priority="96"/>
  </conditionalFormatting>
  <conditionalFormatting sqref="D52:D53">
    <cfRule type="duplicateValues" dxfId="1946" priority="94"/>
  </conditionalFormatting>
  <conditionalFormatting sqref="D52:D53">
    <cfRule type="duplicateValues" dxfId="1945" priority="93"/>
  </conditionalFormatting>
  <conditionalFormatting sqref="D52:D53">
    <cfRule type="duplicateValues" dxfId="1944" priority="92"/>
  </conditionalFormatting>
  <conditionalFormatting sqref="D52:D53">
    <cfRule type="duplicateValues" dxfId="1943" priority="91"/>
  </conditionalFormatting>
  <conditionalFormatting sqref="D52:D53">
    <cfRule type="duplicateValues" dxfId="1942" priority="90"/>
  </conditionalFormatting>
  <conditionalFormatting sqref="D52:D53">
    <cfRule type="duplicateValues" dxfId="1941" priority="87"/>
    <cfRule type="duplicateValues" dxfId="1940" priority="89"/>
  </conditionalFormatting>
  <conditionalFormatting sqref="D52:D53">
    <cfRule type="duplicateValues" dxfId="1939" priority="88"/>
  </conditionalFormatting>
  <conditionalFormatting sqref="D54:D55">
    <cfRule type="duplicateValues" dxfId="1938" priority="86"/>
  </conditionalFormatting>
  <conditionalFormatting sqref="D54:D55">
    <cfRule type="duplicateValues" dxfId="1937" priority="85"/>
  </conditionalFormatting>
  <conditionalFormatting sqref="D54:D55">
    <cfRule type="duplicateValues" dxfId="1936" priority="84"/>
  </conditionalFormatting>
  <conditionalFormatting sqref="D54:D55">
    <cfRule type="duplicateValues" dxfId="1935" priority="83"/>
  </conditionalFormatting>
  <conditionalFormatting sqref="D54:D55">
    <cfRule type="duplicateValues" dxfId="1934" priority="82"/>
  </conditionalFormatting>
  <conditionalFormatting sqref="D54:D55">
    <cfRule type="duplicateValues" dxfId="1933" priority="79"/>
    <cfRule type="duplicateValues" dxfId="1932" priority="81"/>
  </conditionalFormatting>
  <conditionalFormatting sqref="D54:D55">
    <cfRule type="duplicateValues" dxfId="1931" priority="80"/>
  </conditionalFormatting>
  <conditionalFormatting sqref="D106:D107">
    <cfRule type="duplicateValues" dxfId="1930" priority="78"/>
  </conditionalFormatting>
  <conditionalFormatting sqref="D106:D107">
    <cfRule type="duplicateValues" dxfId="1929" priority="77"/>
  </conditionalFormatting>
  <conditionalFormatting sqref="D106:D107">
    <cfRule type="duplicateValues" dxfId="1928" priority="76"/>
  </conditionalFormatting>
  <conditionalFormatting sqref="D106:D107">
    <cfRule type="duplicateValues" dxfId="1927" priority="75"/>
  </conditionalFormatting>
  <conditionalFormatting sqref="D106:D107">
    <cfRule type="duplicateValues" dxfId="1926" priority="74"/>
  </conditionalFormatting>
  <conditionalFormatting sqref="D106:D107">
    <cfRule type="duplicateValues" dxfId="1925" priority="71"/>
    <cfRule type="duplicateValues" dxfId="1924" priority="73"/>
  </conditionalFormatting>
  <conditionalFormatting sqref="D106:D107">
    <cfRule type="duplicateValues" dxfId="1923" priority="72"/>
  </conditionalFormatting>
  <conditionalFormatting sqref="D44">
    <cfRule type="duplicateValues" dxfId="1922" priority="70"/>
  </conditionalFormatting>
  <conditionalFormatting sqref="D44">
    <cfRule type="duplicateValues" dxfId="1921" priority="69"/>
  </conditionalFormatting>
  <conditionalFormatting sqref="D44">
    <cfRule type="duplicateValues" dxfId="1920" priority="68"/>
  </conditionalFormatting>
  <conditionalFormatting sqref="D44">
    <cfRule type="duplicateValues" dxfId="1919" priority="67"/>
  </conditionalFormatting>
  <conditionalFormatting sqref="D44">
    <cfRule type="duplicateValues" dxfId="1918" priority="66"/>
  </conditionalFormatting>
  <conditionalFormatting sqref="D44">
    <cfRule type="duplicateValues" dxfId="1917" priority="63"/>
    <cfRule type="duplicateValues" dxfId="1916" priority="65"/>
  </conditionalFormatting>
  <conditionalFormatting sqref="D44">
    <cfRule type="duplicateValues" dxfId="1915" priority="64"/>
  </conditionalFormatting>
  <conditionalFormatting sqref="D49:D50">
    <cfRule type="duplicateValues" dxfId="1914" priority="3272"/>
  </conditionalFormatting>
  <conditionalFormatting sqref="D47:D50">
    <cfRule type="duplicateValues" dxfId="1913" priority="3273"/>
  </conditionalFormatting>
  <conditionalFormatting sqref="D47:D50">
    <cfRule type="duplicateValues" dxfId="1912" priority="3274"/>
    <cfRule type="duplicateValues" dxfId="1911" priority="3275"/>
  </conditionalFormatting>
  <conditionalFormatting sqref="D135:D136">
    <cfRule type="duplicateValues" dxfId="1910" priority="62"/>
  </conditionalFormatting>
  <conditionalFormatting sqref="D135:D136">
    <cfRule type="duplicateValues" dxfId="1909" priority="61"/>
  </conditionalFormatting>
  <conditionalFormatting sqref="D135:D136">
    <cfRule type="duplicateValues" dxfId="1908" priority="60"/>
  </conditionalFormatting>
  <conditionalFormatting sqref="D135:D136">
    <cfRule type="duplicateValues" dxfId="1907" priority="59"/>
  </conditionalFormatting>
  <conditionalFormatting sqref="D135:D136">
    <cfRule type="duplicateValues" dxfId="1906" priority="58"/>
  </conditionalFormatting>
  <conditionalFormatting sqref="D135:D136">
    <cfRule type="duplicateValues" dxfId="1905" priority="55"/>
    <cfRule type="duplicateValues" dxfId="1904" priority="57"/>
  </conditionalFormatting>
  <conditionalFormatting sqref="D135:D136">
    <cfRule type="duplicateValues" dxfId="1903" priority="56"/>
  </conditionalFormatting>
  <conditionalFormatting sqref="D267:D268">
    <cfRule type="duplicateValues" dxfId="1902" priority="46"/>
  </conditionalFormatting>
  <conditionalFormatting sqref="D267:D268">
    <cfRule type="duplicateValues" dxfId="1901" priority="45"/>
  </conditionalFormatting>
  <conditionalFormatting sqref="D267:D268">
    <cfRule type="duplicateValues" dxfId="1900" priority="44"/>
  </conditionalFormatting>
  <conditionalFormatting sqref="D267:D268">
    <cfRule type="duplicateValues" dxfId="1899" priority="43"/>
  </conditionalFormatting>
  <conditionalFormatting sqref="D267:D268">
    <cfRule type="duplicateValues" dxfId="1898" priority="42"/>
  </conditionalFormatting>
  <conditionalFormatting sqref="D267:D268">
    <cfRule type="duplicateValues" dxfId="1897" priority="39"/>
    <cfRule type="duplicateValues" dxfId="1896" priority="41"/>
  </conditionalFormatting>
  <conditionalFormatting sqref="D267:D268">
    <cfRule type="duplicateValues" dxfId="1895" priority="40"/>
  </conditionalFormatting>
  <conditionalFormatting sqref="D290:D291">
    <cfRule type="duplicateValues" dxfId="1894" priority="38"/>
  </conditionalFormatting>
  <conditionalFormatting sqref="D290:D291">
    <cfRule type="duplicateValues" dxfId="1893" priority="37"/>
  </conditionalFormatting>
  <conditionalFormatting sqref="D290:D291">
    <cfRule type="duplicateValues" dxfId="1892" priority="36"/>
  </conditionalFormatting>
  <conditionalFormatting sqref="D290:D291">
    <cfRule type="duplicateValues" dxfId="1891" priority="35"/>
  </conditionalFormatting>
  <conditionalFormatting sqref="D290:D291">
    <cfRule type="duplicateValues" dxfId="1890" priority="34"/>
  </conditionalFormatting>
  <conditionalFormatting sqref="D290:D291">
    <cfRule type="duplicateValues" dxfId="1889" priority="25"/>
    <cfRule type="duplicateValues" dxfId="1888" priority="33"/>
  </conditionalFormatting>
  <conditionalFormatting sqref="D291">
    <cfRule type="duplicateValues" dxfId="1887" priority="32"/>
  </conditionalFormatting>
  <conditionalFormatting sqref="D291">
    <cfRule type="duplicateValues" dxfId="1886" priority="31"/>
  </conditionalFormatting>
  <conditionalFormatting sqref="D291">
    <cfRule type="duplicateValues" dxfId="1885" priority="30"/>
  </conditionalFormatting>
  <conditionalFormatting sqref="D291">
    <cfRule type="duplicateValues" dxfId="1884" priority="29"/>
  </conditionalFormatting>
  <conditionalFormatting sqref="D291">
    <cfRule type="duplicateValues" dxfId="1883" priority="28"/>
  </conditionalFormatting>
  <conditionalFormatting sqref="D291">
    <cfRule type="duplicateValues" dxfId="1882" priority="27"/>
  </conditionalFormatting>
  <conditionalFormatting sqref="D290:D291">
    <cfRule type="duplicateValues" dxfId="1881" priority="26"/>
  </conditionalFormatting>
  <conditionalFormatting sqref="D145">
    <cfRule type="duplicateValues" dxfId="1880" priority="3304"/>
  </conditionalFormatting>
  <conditionalFormatting sqref="D145">
    <cfRule type="duplicateValues" dxfId="1879" priority="3309"/>
    <cfRule type="duplicateValues" dxfId="1878" priority="3310"/>
  </conditionalFormatting>
  <conditionalFormatting sqref="D159">
    <cfRule type="duplicateValues" dxfId="1877" priority="3327"/>
  </conditionalFormatting>
  <conditionalFormatting sqref="D159">
    <cfRule type="duplicateValues" dxfId="1876" priority="3328"/>
    <cfRule type="duplicateValues" dxfId="1875" priority="3329"/>
  </conditionalFormatting>
  <conditionalFormatting sqref="D102">
    <cfRule type="duplicateValues" dxfId="1874" priority="16"/>
  </conditionalFormatting>
  <conditionalFormatting sqref="D102">
    <cfRule type="duplicateValues" dxfId="1873" priority="15"/>
  </conditionalFormatting>
  <conditionalFormatting sqref="D102">
    <cfRule type="duplicateValues" dxfId="1872" priority="14"/>
  </conditionalFormatting>
  <conditionalFormatting sqref="D120:D121">
    <cfRule type="duplicateValues" dxfId="1871" priority="13"/>
  </conditionalFormatting>
  <conditionalFormatting sqref="D122:D123">
    <cfRule type="duplicateValues" dxfId="1870" priority="12"/>
  </conditionalFormatting>
  <conditionalFormatting sqref="D124:D126">
    <cfRule type="duplicateValues" dxfId="1869" priority="11"/>
  </conditionalFormatting>
  <conditionalFormatting sqref="D120:D126">
    <cfRule type="duplicateValues" dxfId="1868" priority="10"/>
  </conditionalFormatting>
  <conditionalFormatting sqref="D127">
    <cfRule type="duplicateValues" dxfId="1867" priority="9"/>
  </conditionalFormatting>
  <conditionalFormatting sqref="D127">
    <cfRule type="duplicateValues" dxfId="1866" priority="8"/>
  </conditionalFormatting>
  <conditionalFormatting sqref="D120:D127">
    <cfRule type="duplicateValues" dxfId="1865" priority="7"/>
  </conditionalFormatting>
  <conditionalFormatting sqref="D137:D138">
    <cfRule type="duplicateValues" dxfId="1864" priority="6"/>
  </conditionalFormatting>
  <conditionalFormatting sqref="D139:D141">
    <cfRule type="duplicateValues" dxfId="1863" priority="5"/>
  </conditionalFormatting>
  <conditionalFormatting sqref="D137:D141">
    <cfRule type="duplicateValues" dxfId="1862" priority="4"/>
  </conditionalFormatting>
  <conditionalFormatting sqref="D142">
    <cfRule type="duplicateValues" dxfId="1861" priority="3"/>
  </conditionalFormatting>
  <conditionalFormatting sqref="D142">
    <cfRule type="duplicateValues" dxfId="1860" priority="2"/>
  </conditionalFormatting>
  <conditionalFormatting sqref="D137:D142">
    <cfRule type="duplicateValues" dxfId="1859" priority="1"/>
  </conditionalFormatting>
  <dataValidations disablePrompts="1" count="2">
    <dataValidation type="whole" allowBlank="1" showInputMessage="1" showErrorMessage="1" errorTitle="Non-Numeric or abnormal value" error="Enter Numbers only between 0 and 99999" sqref="E195:F196 E334:F334 E9:F13 G371:AB371">
      <formula1>0</formula1>
      <formula2>99999</formula2>
    </dataValidation>
    <dataValidation allowBlank="1" showInputMessage="1" showErrorMessage="1" errorTitle="Non-Numeric or abnormal value" error="Enter Numbers only between 0 and 99999" sqref="E197:F230 E8:F8"/>
  </dataValidations>
  <pageMargins left="0.7" right="0.7" top="0.75" bottom="0.75" header="0.3" footer="0.3"/>
  <pageSetup scale="13"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R558"/>
  <sheetViews>
    <sheetView showGridLines="0" tabSelected="1" showRuler="0" zoomScale="40" zoomScaleNormal="40" zoomScaleSheetLayoutView="68" zoomScalePageLayoutView="21" workbookViewId="0">
      <pane xSplit="3" ySplit="21" topLeftCell="D474" activePane="bottomRight" state="frozen"/>
      <selection pane="topRight" activeCell="D1" sqref="D1"/>
      <selection pane="bottomLeft" activeCell="A22" sqref="A22"/>
      <selection pane="bottomRight" activeCell="AK8" sqref="AK1:AK1048576"/>
    </sheetView>
  </sheetViews>
  <sheetFormatPr defaultColWidth="9.140625" defaultRowHeight="28.5" x14ac:dyDescent="0.35"/>
  <cols>
    <col min="1" max="1" width="45.28515625" style="956" customWidth="1" collapsed="1"/>
    <col min="2" max="2" width="127.28515625" style="283" customWidth="1" collapsed="1"/>
    <col min="3" max="3" width="18.42578125" style="61" bestFit="1" customWidth="1" collapsed="1"/>
    <col min="4" max="23" width="7.5703125" style="18" customWidth="1" collapsed="1"/>
    <col min="24" max="24" width="9.140625" style="18" customWidth="1" collapsed="1"/>
    <col min="25" max="26" width="8.85546875" style="18" customWidth="1" collapsed="1"/>
    <col min="27" max="27" width="9.140625" style="18" customWidth="1" collapsed="1"/>
    <col min="28" max="35" width="9.140625" style="18" customWidth="1"/>
    <col min="36" max="36" width="18" style="18" bestFit="1" customWidth="1" collapsed="1"/>
    <col min="37" max="37" width="12" style="61" hidden="1" customWidth="1" collapsed="1"/>
    <col min="38" max="38" width="40.5703125" style="235" bestFit="1" customWidth="1" collapsed="1"/>
    <col min="39" max="39" width="31.5703125" style="18" hidden="1" customWidth="1" collapsed="1"/>
    <col min="40" max="40" width="36.7109375" style="18" customWidth="1" collapsed="1"/>
    <col min="41" max="41" width="9.140625" style="272" collapsed="1"/>
    <col min="42" max="42" width="37.28515625" style="273" bestFit="1" customWidth="1" collapsed="1"/>
    <col min="43" max="43" width="35.85546875" style="274" bestFit="1" customWidth="1" collapsed="1"/>
    <col min="44" max="44" width="9.140625" style="18"/>
    <col min="45" max="16384" width="9.140625" style="18" collapsed="1"/>
  </cols>
  <sheetData>
    <row r="1" spans="1:43" s="6" customFormat="1" ht="39" hidden="1" customHeight="1" thickBot="1" x14ac:dyDescent="0.3">
      <c r="A1" s="945" t="s">
        <v>356</v>
      </c>
      <c r="B1" s="1200" t="s">
        <v>437</v>
      </c>
      <c r="C1" s="1201"/>
      <c r="D1" s="1276" t="s">
        <v>128</v>
      </c>
      <c r="E1" s="1278"/>
      <c r="F1" s="1198" t="s">
        <v>438</v>
      </c>
      <c r="G1" s="1199"/>
      <c r="H1" s="1276" t="s">
        <v>355</v>
      </c>
      <c r="I1" s="1277"/>
      <c r="J1" s="1278"/>
      <c r="K1" s="1198" t="s">
        <v>439</v>
      </c>
      <c r="L1" s="1283"/>
      <c r="M1" s="1283"/>
      <c r="N1" s="1283"/>
      <c r="O1" s="1283"/>
      <c r="P1" s="1283"/>
      <c r="Q1" s="1199"/>
      <c r="R1" s="1276" t="s">
        <v>362</v>
      </c>
      <c r="S1" s="1278"/>
      <c r="T1" s="1198" t="s">
        <v>440</v>
      </c>
      <c r="U1" s="1283"/>
      <c r="V1" s="1199"/>
      <c r="W1" s="1276" t="s">
        <v>357</v>
      </c>
      <c r="X1" s="1278"/>
      <c r="Y1" s="4" t="s">
        <v>441</v>
      </c>
      <c r="Z1" s="5" t="s">
        <v>358</v>
      </c>
      <c r="AA1" s="1198">
        <v>2020</v>
      </c>
      <c r="AB1" s="1283"/>
      <c r="AC1" s="1283"/>
      <c r="AD1" s="1283"/>
      <c r="AE1" s="1283"/>
      <c r="AF1" s="1283"/>
      <c r="AG1" s="1283"/>
      <c r="AH1" s="1283"/>
      <c r="AI1" s="1283"/>
      <c r="AJ1" s="1199"/>
      <c r="AK1" s="1220" t="s">
        <v>359</v>
      </c>
      <c r="AL1" s="1221"/>
      <c r="AM1" s="1221"/>
      <c r="AN1" s="1221"/>
      <c r="AO1" s="1215"/>
    </row>
    <row r="2" spans="1:43" s="8" customFormat="1" ht="94.5" customHeight="1" thickBot="1" x14ac:dyDescent="0.45">
      <c r="A2" s="1203"/>
      <c r="B2" s="1204"/>
      <c r="C2" s="1204"/>
      <c r="D2" s="1204"/>
      <c r="E2" s="1204"/>
      <c r="F2" s="1204"/>
      <c r="G2" s="1204"/>
      <c r="H2" s="1204"/>
      <c r="I2" s="1204"/>
      <c r="J2" s="1204"/>
      <c r="K2" s="1204"/>
      <c r="L2" s="1204"/>
      <c r="M2" s="1204"/>
      <c r="N2" s="1204"/>
      <c r="O2" s="1204"/>
      <c r="P2" s="1204"/>
      <c r="Q2" s="1204"/>
      <c r="R2" s="1204"/>
      <c r="S2" s="1204"/>
      <c r="T2" s="1204"/>
      <c r="U2" s="1204"/>
      <c r="V2" s="1204"/>
      <c r="W2" s="1204"/>
      <c r="X2" s="1204"/>
      <c r="Y2" s="1204"/>
      <c r="Z2" s="1204"/>
      <c r="AA2" s="1204"/>
      <c r="AB2" s="1204"/>
      <c r="AC2" s="1204"/>
      <c r="AD2" s="1204"/>
      <c r="AE2" s="1204"/>
      <c r="AF2" s="1204"/>
      <c r="AG2" s="1204"/>
      <c r="AH2" s="1204"/>
      <c r="AI2" s="1204"/>
      <c r="AJ2" s="1204"/>
      <c r="AK2" s="1204"/>
      <c r="AL2" s="1204"/>
      <c r="AM2" s="1204"/>
      <c r="AN2" s="1205"/>
      <c r="AO2" s="1215"/>
      <c r="AP2" s="1213" t="s">
        <v>958</v>
      </c>
      <c r="AQ2" s="1214"/>
    </row>
    <row r="3" spans="1:43" s="290" customFormat="1" ht="57.4" customHeight="1" thickBot="1" x14ac:dyDescent="0.3">
      <c r="A3" s="1206" t="str">
        <f>CONCATENATE(R1,":  ",T1,"                            ",H1,":   ",K1,"                            ",A1,":   ",B1,"                            ",D1,":   ",F1,"                            Reporting Year:   ",AA1,"              Reporting Month:   ",Y1)</f>
        <v>County:  Laikipia                            Sub County:   Laikipia East                            Health Facility:   Likii Dispensary                            MFL Code:   15035                            Reporting Year:   2020              Reporting Month:   02</v>
      </c>
      <c r="B3" s="1207"/>
      <c r="C3" s="1207"/>
      <c r="D3" s="1207"/>
      <c r="E3" s="1207"/>
      <c r="F3" s="1207"/>
      <c r="G3" s="1207"/>
      <c r="H3" s="1207"/>
      <c r="I3" s="1207"/>
      <c r="J3" s="1207"/>
      <c r="K3" s="1207"/>
      <c r="L3" s="1207"/>
      <c r="M3" s="1207"/>
      <c r="N3" s="1207"/>
      <c r="O3" s="1207"/>
      <c r="P3" s="1207"/>
      <c r="Q3" s="1207"/>
      <c r="R3" s="1207"/>
      <c r="S3" s="1207"/>
      <c r="T3" s="1207"/>
      <c r="U3" s="1207"/>
      <c r="V3" s="1207"/>
      <c r="W3" s="1207"/>
      <c r="X3" s="1207"/>
      <c r="Y3" s="1207"/>
      <c r="Z3" s="1207"/>
      <c r="AA3" s="1207"/>
      <c r="AB3" s="1207"/>
      <c r="AC3" s="1207"/>
      <c r="AD3" s="1207"/>
      <c r="AE3" s="1207"/>
      <c r="AF3" s="1207"/>
      <c r="AG3" s="1207"/>
      <c r="AH3" s="1207"/>
      <c r="AI3" s="1207"/>
      <c r="AJ3" s="1207"/>
      <c r="AK3" s="1207"/>
      <c r="AL3" s="1207"/>
      <c r="AM3" s="1207"/>
      <c r="AN3" s="1208"/>
      <c r="AO3" s="1215"/>
      <c r="AP3" s="291" t="str">
        <f>HYPERLINK("#HIV_TEST","1.1 Hiv Testing")</f>
        <v>1.1 Hiv Testing</v>
      </c>
      <c r="AQ3" s="291" t="str">
        <f>HYPERLINK("#GEND_GBV","5.0 GEND_GBV")</f>
        <v>5.0 GEND_GBV</v>
      </c>
    </row>
    <row r="4" spans="1:43" s="10" customFormat="1" ht="39.75" customHeight="1" thickBot="1" x14ac:dyDescent="0.3">
      <c r="A4" s="1286" t="s">
        <v>1253</v>
      </c>
      <c r="B4" s="1287"/>
      <c r="C4" s="1287"/>
      <c r="D4" s="1282" t="s">
        <v>942</v>
      </c>
      <c r="E4" s="1282"/>
      <c r="F4" s="1282"/>
      <c r="G4" s="1282"/>
      <c r="H4" s="1282"/>
      <c r="I4" s="1282"/>
      <c r="J4" s="1282"/>
      <c r="K4" s="1282"/>
      <c r="L4" s="1282"/>
      <c r="M4" s="1282"/>
      <c r="N4" s="1282"/>
      <c r="O4" s="1282"/>
      <c r="P4" s="1282"/>
      <c r="Q4" s="1282"/>
      <c r="R4" s="1282"/>
      <c r="S4" s="1282"/>
      <c r="T4" s="1282"/>
      <c r="U4" s="1282"/>
      <c r="V4" s="1282"/>
      <c r="W4" s="1261" t="s">
        <v>944</v>
      </c>
      <c r="X4" s="1262"/>
      <c r="Y4" s="1262"/>
      <c r="Z4" s="1262"/>
      <c r="AA4" s="1262"/>
      <c r="AB4" s="1262"/>
      <c r="AC4" s="1262"/>
      <c r="AD4" s="1262"/>
      <c r="AE4" s="1262"/>
      <c r="AF4" s="1262"/>
      <c r="AG4" s="1262"/>
      <c r="AH4" s="1262"/>
      <c r="AI4" s="1262"/>
      <c r="AJ4" s="1262"/>
      <c r="AK4" s="1262"/>
      <c r="AL4" s="1262"/>
      <c r="AM4" s="1262"/>
      <c r="AN4" s="1263"/>
      <c r="AO4" s="1215"/>
      <c r="AP4" s="291" t="str">
        <f>HYPERLINK("#HTS_SELF","1.2 HTS SELF")</f>
        <v>1.2 HTS SELF</v>
      </c>
      <c r="AQ4" s="291" t="str">
        <f>HYPERLINK("#PMTCT_TST","6.1 PMTCT TEST")</f>
        <v>6.1 PMTCT TEST</v>
      </c>
    </row>
    <row r="5" spans="1:43" s="14" customFormat="1" ht="26.25" hidden="1" customHeight="1" thickBot="1" x14ac:dyDescent="0.45">
      <c r="A5" s="1279" t="s">
        <v>36</v>
      </c>
      <c r="B5" s="1280" t="s">
        <v>321</v>
      </c>
      <c r="C5" s="1281" t="s">
        <v>305</v>
      </c>
      <c r="D5" s="1251" t="s">
        <v>0</v>
      </c>
      <c r="E5" s="1251"/>
      <c r="F5" s="1251" t="s">
        <v>1</v>
      </c>
      <c r="G5" s="1251"/>
      <c r="H5" s="1251" t="s">
        <v>2</v>
      </c>
      <c r="I5" s="1251"/>
      <c r="J5" s="1251" t="s">
        <v>3</v>
      </c>
      <c r="K5" s="1251"/>
      <c r="L5" s="1251" t="s">
        <v>4</v>
      </c>
      <c r="M5" s="1251"/>
      <c r="N5" s="1251" t="s">
        <v>5</v>
      </c>
      <c r="O5" s="1251"/>
      <c r="P5" s="1251" t="s">
        <v>6</v>
      </c>
      <c r="Q5" s="1251"/>
      <c r="R5" s="1251" t="s">
        <v>7</v>
      </c>
      <c r="S5" s="1251"/>
      <c r="T5" s="1251" t="s">
        <v>8</v>
      </c>
      <c r="U5" s="1251"/>
      <c r="V5" s="1251" t="s">
        <v>23</v>
      </c>
      <c r="W5" s="1251"/>
      <c r="X5" s="1251" t="s">
        <v>24</v>
      </c>
      <c r="Y5" s="1251"/>
      <c r="Z5" s="1251" t="s">
        <v>9</v>
      </c>
      <c r="AA5" s="1251"/>
      <c r="AB5" s="297"/>
      <c r="AC5" s="297"/>
      <c r="AD5" s="297"/>
      <c r="AE5" s="297"/>
      <c r="AF5" s="297"/>
      <c r="AG5" s="297"/>
      <c r="AH5" s="484"/>
      <c r="AI5" s="484"/>
      <c r="AJ5" s="1284" t="s">
        <v>19</v>
      </c>
      <c r="AK5" s="1211" t="s">
        <v>354</v>
      </c>
      <c r="AL5" s="11" t="s">
        <v>354</v>
      </c>
      <c r="AM5" s="1246" t="s">
        <v>361</v>
      </c>
      <c r="AN5" s="12" t="s">
        <v>898</v>
      </c>
      <c r="AO5" s="1215"/>
      <c r="AP5" s="292"/>
      <c r="AQ5"/>
    </row>
    <row r="6" spans="1:43" s="14" customFormat="1" ht="27" hidden="1" customHeight="1" thickBot="1" x14ac:dyDescent="0.45">
      <c r="A6" s="1165"/>
      <c r="B6" s="1161"/>
      <c r="C6" s="1231"/>
      <c r="D6" s="15" t="s">
        <v>10</v>
      </c>
      <c r="E6" s="15" t="s">
        <v>11</v>
      </c>
      <c r="F6" s="15" t="s">
        <v>10</v>
      </c>
      <c r="G6" s="15" t="s">
        <v>11</v>
      </c>
      <c r="H6" s="15" t="s">
        <v>10</v>
      </c>
      <c r="I6" s="15" t="s">
        <v>11</v>
      </c>
      <c r="J6" s="15" t="s">
        <v>10</v>
      </c>
      <c r="K6" s="15" t="s">
        <v>11</v>
      </c>
      <c r="L6" s="15" t="s">
        <v>10</v>
      </c>
      <c r="M6" s="15" t="s">
        <v>11</v>
      </c>
      <c r="N6" s="15" t="s">
        <v>10</v>
      </c>
      <c r="O6" s="15" t="s">
        <v>11</v>
      </c>
      <c r="P6" s="15" t="s">
        <v>10</v>
      </c>
      <c r="Q6" s="15" t="s">
        <v>11</v>
      </c>
      <c r="R6" s="15" t="s">
        <v>10</v>
      </c>
      <c r="S6" s="15" t="s">
        <v>11</v>
      </c>
      <c r="T6" s="15" t="s">
        <v>10</v>
      </c>
      <c r="U6" s="15" t="s">
        <v>11</v>
      </c>
      <c r="V6" s="15" t="s">
        <v>10</v>
      </c>
      <c r="W6" s="15" t="s">
        <v>11</v>
      </c>
      <c r="X6" s="15" t="s">
        <v>10</v>
      </c>
      <c r="Y6" s="15" t="s">
        <v>11</v>
      </c>
      <c r="Z6" s="15" t="s">
        <v>10</v>
      </c>
      <c r="AA6" s="15" t="s">
        <v>11</v>
      </c>
      <c r="AB6" s="15"/>
      <c r="AC6" s="15"/>
      <c r="AD6" s="15"/>
      <c r="AE6" s="15"/>
      <c r="AF6" s="15"/>
      <c r="AG6" s="15"/>
      <c r="AH6" s="15"/>
      <c r="AI6" s="15"/>
      <c r="AJ6" s="1285"/>
      <c r="AK6" s="1212"/>
      <c r="AL6" s="16" t="str">
        <f>IF(LEN(A507)-LEN(SUBSTITUTE(A507,"*",""))&gt;0," Total Errors are "&amp;(LEN(A507)-LEN(SUBSTITUTE(A507,"*",""))),"")</f>
        <v/>
      </c>
      <c r="AM6" s="1247"/>
      <c r="AN6" s="17" t="str">
        <f>IF(LEN(A529)-LEN(SUBSTITUTE(A529,"*",""))&gt;0," Total Warnings are "&amp;(LEN(A529)-LEN(SUBSTITUTE(A529,"*",""))),"")</f>
        <v/>
      </c>
      <c r="AO6" s="1215"/>
      <c r="AP6" s="292"/>
      <c r="AQ6"/>
    </row>
    <row r="7" spans="1:43" ht="25.9" hidden="1" customHeight="1" thickBot="1" x14ac:dyDescent="0.45">
      <c r="A7" s="1114" t="s">
        <v>444</v>
      </c>
      <c r="B7" s="1115"/>
      <c r="C7" s="1115"/>
      <c r="D7" s="1115"/>
      <c r="E7" s="1115"/>
      <c r="F7" s="1115"/>
      <c r="G7" s="1115"/>
      <c r="H7" s="1115"/>
      <c r="I7" s="1115"/>
      <c r="J7" s="1115"/>
      <c r="K7" s="1115"/>
      <c r="L7" s="1115"/>
      <c r="M7" s="1115"/>
      <c r="N7" s="1115"/>
      <c r="O7" s="1115"/>
      <c r="P7" s="1115"/>
      <c r="Q7" s="1115"/>
      <c r="R7" s="1115"/>
      <c r="S7" s="1115"/>
      <c r="T7" s="1115"/>
      <c r="U7" s="1115"/>
      <c r="V7" s="1115"/>
      <c r="W7" s="1115"/>
      <c r="X7" s="1115"/>
      <c r="Y7" s="1115"/>
      <c r="Z7" s="1115"/>
      <c r="AA7" s="1115"/>
      <c r="AB7" s="1115"/>
      <c r="AC7" s="1115"/>
      <c r="AD7" s="1115"/>
      <c r="AE7" s="1115"/>
      <c r="AF7" s="1115"/>
      <c r="AG7" s="1115"/>
      <c r="AH7" s="1115"/>
      <c r="AI7" s="1115"/>
      <c r="AJ7" s="1115"/>
      <c r="AK7" s="1115"/>
      <c r="AL7" s="1118"/>
      <c r="AM7" s="1115"/>
      <c r="AN7" s="1119"/>
      <c r="AO7" s="1215"/>
      <c r="AP7" s="292"/>
      <c r="AQ7"/>
    </row>
    <row r="8" spans="1:43" ht="31.15" hidden="1" customHeight="1" thickBot="1" x14ac:dyDescent="0.45">
      <c r="A8" s="1248" t="s">
        <v>794</v>
      </c>
      <c r="B8" s="1" t="s">
        <v>610</v>
      </c>
      <c r="C8" s="554" t="s">
        <v>932</v>
      </c>
      <c r="D8" s="19"/>
      <c r="E8" s="19"/>
      <c r="F8" s="19"/>
      <c r="G8" s="20"/>
      <c r="H8" s="21"/>
      <c r="I8" s="22"/>
      <c r="J8" s="22"/>
      <c r="K8" s="22"/>
      <c r="L8" s="22"/>
      <c r="M8" s="22"/>
      <c r="N8" s="22"/>
      <c r="O8" s="22"/>
      <c r="P8" s="22"/>
      <c r="Q8" s="22"/>
      <c r="R8" s="22"/>
      <c r="S8" s="23"/>
      <c r="T8" s="24"/>
      <c r="U8" s="25"/>
      <c r="V8" s="25"/>
      <c r="W8" s="25"/>
      <c r="X8" s="25"/>
      <c r="Y8" s="26"/>
      <c r="Z8" s="27"/>
      <c r="AA8" s="28"/>
      <c r="AB8" s="301"/>
      <c r="AC8" s="301"/>
      <c r="AD8" s="301"/>
      <c r="AE8" s="301"/>
      <c r="AF8" s="301"/>
      <c r="AG8" s="301"/>
      <c r="AH8" s="301"/>
      <c r="AI8" s="301"/>
      <c r="AJ8" s="29">
        <f t="shared" ref="AJ8:AJ10" si="0">SUM(D8:AA8)</f>
        <v>0</v>
      </c>
      <c r="AK8" s="30" t="str">
        <f>CONCATENATE(IF(AJ9&gt;AJ8," * No Screened in OPD "&amp;$AJ$20&amp;" is more than Number Seen at OPD "&amp;CHAR(10),""))</f>
        <v/>
      </c>
      <c r="AL8" s="1222" t="str">
        <f>CONCATENATE(AK8,AK9,AK10,AK11,AK12,AK13,AK15,AK16,AK17,AK18,AK14)</f>
        <v/>
      </c>
      <c r="AM8" s="31"/>
      <c r="AN8" s="1209" t="str">
        <f>CONCATENATE(AM8,AM9,AM10,AM11,AM12,AM13,AM14,AM15,AM16,AM17,AM18)</f>
        <v/>
      </c>
      <c r="AO8" s="1215"/>
      <c r="AP8" s="292"/>
      <c r="AQ8"/>
    </row>
    <row r="9" spans="1:43" ht="25.9" hidden="1" customHeight="1" thickBot="1" x14ac:dyDescent="0.45">
      <c r="A9" s="1249"/>
      <c r="B9" s="32" t="s">
        <v>611</v>
      </c>
      <c r="C9" s="554" t="s">
        <v>933</v>
      </c>
      <c r="D9" s="19"/>
      <c r="E9" s="19"/>
      <c r="F9" s="19"/>
      <c r="G9" s="20"/>
      <c r="H9" s="33"/>
      <c r="I9" s="28"/>
      <c r="J9" s="28"/>
      <c r="K9" s="28"/>
      <c r="L9" s="28"/>
      <c r="M9" s="28"/>
      <c r="N9" s="28"/>
      <c r="O9" s="28"/>
      <c r="P9" s="28"/>
      <c r="Q9" s="28"/>
      <c r="R9" s="28"/>
      <c r="S9" s="34"/>
      <c r="T9" s="35"/>
      <c r="U9" s="19"/>
      <c r="V9" s="19"/>
      <c r="W9" s="19"/>
      <c r="X9" s="19"/>
      <c r="Y9" s="36"/>
      <c r="Z9" s="27"/>
      <c r="AA9" s="28"/>
      <c r="AB9" s="301"/>
      <c r="AC9" s="301"/>
      <c r="AD9" s="301"/>
      <c r="AE9" s="301"/>
      <c r="AF9" s="301"/>
      <c r="AG9" s="301"/>
      <c r="AH9" s="301"/>
      <c r="AI9" s="301"/>
      <c r="AJ9" s="29">
        <f t="shared" si="0"/>
        <v>0</v>
      </c>
      <c r="AK9" s="30" t="str">
        <f>CONCATENATE(IF(AJ10&gt;AJ9," * No Eligible for HTS Testing "&amp;$AJ$20&amp;" is more than No Screened for HTS Eligibility "&amp;CHAR(10),""))</f>
        <v/>
      </c>
      <c r="AL9" s="1223"/>
      <c r="AM9" s="31"/>
      <c r="AN9" s="1210"/>
      <c r="AO9" s="1215"/>
      <c r="AP9" s="292"/>
      <c r="AQ9"/>
    </row>
    <row r="10" spans="1:43" ht="25.9" hidden="1" customHeight="1" thickBot="1" x14ac:dyDescent="0.45">
      <c r="A10" s="1250"/>
      <c r="B10" s="3" t="s">
        <v>445</v>
      </c>
      <c r="C10" s="554" t="s">
        <v>934</v>
      </c>
      <c r="D10" s="19"/>
      <c r="E10" s="19"/>
      <c r="F10" s="19"/>
      <c r="G10" s="20"/>
      <c r="H10" s="37"/>
      <c r="I10" s="38"/>
      <c r="J10" s="38"/>
      <c r="K10" s="38"/>
      <c r="L10" s="38"/>
      <c r="M10" s="38"/>
      <c r="N10" s="38"/>
      <c r="O10" s="38"/>
      <c r="P10" s="38"/>
      <c r="Q10" s="38"/>
      <c r="R10" s="38"/>
      <c r="S10" s="39"/>
      <c r="T10" s="40"/>
      <c r="U10" s="41"/>
      <c r="V10" s="41"/>
      <c r="W10" s="41"/>
      <c r="X10" s="41"/>
      <c r="Y10" s="42"/>
      <c r="Z10" s="43"/>
      <c r="AA10" s="44"/>
      <c r="AB10" s="301"/>
      <c r="AC10" s="301"/>
      <c r="AD10" s="301"/>
      <c r="AE10" s="301"/>
      <c r="AF10" s="301"/>
      <c r="AG10" s="301"/>
      <c r="AH10" s="301"/>
      <c r="AI10" s="301"/>
      <c r="AJ10" s="29">
        <f t="shared" si="0"/>
        <v>0</v>
      </c>
      <c r="AK10" s="45"/>
      <c r="AL10" s="1223"/>
      <c r="AM10" s="31"/>
      <c r="AN10" s="1210"/>
      <c r="AO10" s="1215"/>
      <c r="AP10" s="292"/>
      <c r="AQ10"/>
    </row>
    <row r="11" spans="1:43" ht="25.9" hidden="1" customHeight="1" thickBot="1" x14ac:dyDescent="0.45">
      <c r="A11" s="1267" t="s">
        <v>795</v>
      </c>
      <c r="B11" s="1" t="s">
        <v>804</v>
      </c>
      <c r="C11" s="554" t="s">
        <v>935</v>
      </c>
      <c r="D11" s="46"/>
      <c r="E11" s="19"/>
      <c r="F11" s="19"/>
      <c r="G11" s="19"/>
      <c r="H11" s="19"/>
      <c r="I11" s="19"/>
      <c r="J11" s="19"/>
      <c r="K11" s="19"/>
      <c r="L11" s="19"/>
      <c r="M11" s="19"/>
      <c r="N11" s="19"/>
      <c r="O11" s="19"/>
      <c r="P11" s="19"/>
      <c r="Q11" s="19"/>
      <c r="R11" s="19"/>
      <c r="S11" s="19"/>
      <c r="T11" s="19"/>
      <c r="U11" s="19"/>
      <c r="V11" s="19"/>
      <c r="W11" s="19"/>
      <c r="X11" s="19"/>
      <c r="Y11" s="19"/>
      <c r="Z11" s="19"/>
      <c r="AA11" s="47"/>
      <c r="AB11" s="302"/>
      <c r="AC11" s="302"/>
      <c r="AD11" s="302"/>
      <c r="AE11" s="302"/>
      <c r="AF11" s="302"/>
      <c r="AG11" s="302"/>
      <c r="AH11" s="302"/>
      <c r="AI11" s="302"/>
      <c r="AJ11" s="48"/>
      <c r="AK11" s="30" t="str">
        <f>CONCATENATE(IF(D12&gt;D11," * F00-05 "&amp;$D$20&amp;" "&amp;$D$21&amp;" is more than F00-04"&amp;CHAR(10),""),IF(E12&gt;E11," * F00-05 "&amp;$D$20&amp;" "&amp;$E$21&amp;" is more than F00-04"&amp;CHAR(10),""),IF(F12&gt;F11," * F00-05 "&amp;$F$20&amp;" "&amp;$F$21&amp;" is more than F00-04"&amp;CHAR(10),""),IF(G12&gt;G11," * F00-05 "&amp;$F$20&amp;" "&amp;$G$21&amp;" is more than F00-04"&amp;CHAR(10),""),IF(H12&gt;H11," * F00-05 "&amp;$H$20&amp;" "&amp;$H$21&amp;" is more than F00-04"&amp;CHAR(10),""),IF(I12&gt;I11," * F00-05 "&amp;$H$20&amp;" "&amp;$I$21&amp;" is more than F00-04"&amp;CHAR(10),""),IF(J12&gt;J11," * F00-05 "&amp;$J$20&amp;" "&amp;$J$21&amp;" is more than F00-04"&amp;CHAR(10),""),IF(K12&gt;K11," * F00-05 "&amp;$J$20&amp;" "&amp;$K$21&amp;" is more than F00-04"&amp;CHAR(10),""),IF(L12&gt;L11," * F00-05 "&amp;$L$20&amp;" "&amp;$L$21&amp;" is more than F00-04"&amp;CHAR(10),""),IF(M12&gt;M11," * F00-05 "&amp;$L$20&amp;" "&amp;$M$21&amp;" is more than F00-04"&amp;CHAR(10),""),IF(N12&gt;N11," * F00-05 "&amp;$N$20&amp;" "&amp;$N$21&amp;" is more than F00-04"&amp;CHAR(10),""),IF(O12&gt;O11," * F00-05 "&amp;$N$20&amp;" "&amp;$O$21&amp;" is more than F00-04"&amp;CHAR(10),""),IF(P12&gt;P11," * F00-05 "&amp;$P$20&amp;" "&amp;$P$21&amp;" is more than F00-04"&amp;CHAR(10),""),IF(Q12&gt;Q11," * F00-05 "&amp;$P$20&amp;" "&amp;$Q$21&amp;" is more than F00-04"&amp;CHAR(10),""),IF(R12&gt;R11," * F00-05 "&amp;$R$20&amp;" "&amp;$R$21&amp;" is more than F00-04"&amp;CHAR(10),""),IF(S12&gt;S11," * F00-05 "&amp;$R$20&amp;" "&amp;$S$21&amp;" is more than F00-04"&amp;CHAR(10),""),IF(T12&gt;T11," * F00-05 "&amp;$T$20&amp;" "&amp;$T$21&amp;" is more than F00-04"&amp;CHAR(10),""),IF(U12&gt;U11," * F00-05 "&amp;$T$20&amp;" "&amp;$U$21&amp;" is more than F00-04"&amp;CHAR(10),""),IF(V12&gt;V11," * F00-05 "&amp;$V$20&amp;" "&amp;$V$21&amp;" is more than F00-04"&amp;CHAR(10),""),IF(W12&gt;W11," * F00-05 "&amp;$V$20&amp;" "&amp;$W$21&amp;" is more than F00-04"&amp;CHAR(10),""),IF(X12&gt;X11," * F00-05 "&amp;$X$20&amp;" "&amp;$X$21&amp;" is more than F00-04"&amp;CHAR(10),""),IF(Y12&gt;Y11," * F00-05 "&amp;$X$20&amp;" "&amp;$Y$21&amp;" is more than F00-04"&amp;CHAR(10),""),IF(Z12&gt;Z11," * F00-05 "&amp;$Z$20&amp;" "&amp;$Z$21&amp;" is more than F00-04"&amp;CHAR(10),""),IF(AA12&gt;AA11," * F00-05 "&amp;$Z$20&amp;" "&amp;$AA$21&amp;" is more than F00-04"&amp;CHAR(10),""))</f>
        <v/>
      </c>
      <c r="AL11" s="1223"/>
      <c r="AM11" s="31"/>
      <c r="AN11" s="1210"/>
      <c r="AO11" s="1215"/>
      <c r="AP11" s="292"/>
      <c r="AQ11"/>
    </row>
    <row r="12" spans="1:43" ht="25.9" hidden="1" customHeight="1" thickBot="1" x14ac:dyDescent="0.45">
      <c r="A12" s="1249"/>
      <c r="B12" s="32" t="s">
        <v>611</v>
      </c>
      <c r="C12" s="555" t="s">
        <v>798</v>
      </c>
      <c r="D12" s="49"/>
      <c r="E12" s="50"/>
      <c r="F12" s="50"/>
      <c r="G12" s="50"/>
      <c r="H12" s="50"/>
      <c r="I12" s="50"/>
      <c r="J12" s="50"/>
      <c r="K12" s="50"/>
      <c r="L12" s="50"/>
      <c r="M12" s="50"/>
      <c r="N12" s="50"/>
      <c r="O12" s="50"/>
      <c r="P12" s="50"/>
      <c r="Q12" s="50"/>
      <c r="R12" s="50"/>
      <c r="S12" s="50"/>
      <c r="T12" s="50"/>
      <c r="U12" s="50"/>
      <c r="V12" s="50"/>
      <c r="W12" s="50"/>
      <c r="X12" s="50"/>
      <c r="Y12" s="50"/>
      <c r="Z12" s="50"/>
      <c r="AA12" s="51"/>
      <c r="AB12" s="302"/>
      <c r="AC12" s="302"/>
      <c r="AD12" s="302"/>
      <c r="AE12" s="302"/>
      <c r="AF12" s="302"/>
      <c r="AG12" s="302"/>
      <c r="AH12" s="302"/>
      <c r="AI12" s="302"/>
      <c r="AJ12" s="52">
        <f t="shared" ref="AJ12:AJ17" si="1">SUM(D12:AA12)</f>
        <v>0</v>
      </c>
      <c r="AK12" s="30" t="str">
        <f>CONCATENATE(IF(D13&gt;D12," * F00-06 "&amp;$D$20&amp;" "&amp;$D$21&amp;" is more than F00-05"&amp;CHAR(10),""),IF(E13&gt;E12," * F00-06 "&amp;$D$20&amp;" "&amp;$E$21&amp;" is more than F00-05"&amp;CHAR(10),""),IF(F13&gt;F12," * F00-06 "&amp;$F$20&amp;" "&amp;$F$21&amp;" is more than F00-05"&amp;CHAR(10),""),IF(G13&gt;G12," * F00-06 "&amp;$F$20&amp;" "&amp;$G$21&amp;" is more than F00-05"&amp;CHAR(10),""),IF(H13&gt;H12," * F00-06 "&amp;$H$20&amp;" "&amp;$H$21&amp;" is more than F00-05"&amp;CHAR(10),""),IF(I13&gt;I12," * F00-06 "&amp;$H$20&amp;" "&amp;$I$21&amp;" is more than F00-05"&amp;CHAR(10),""),IF(J13&gt;J12," * F00-06 "&amp;$J$20&amp;" "&amp;$J$21&amp;" is more than F00-05"&amp;CHAR(10),""),IF(K13&gt;K12," * F00-06 "&amp;$J$20&amp;" "&amp;$K$21&amp;" is more than F00-05"&amp;CHAR(10),""),IF(L13&gt;L12," * F00-06 "&amp;$L$20&amp;" "&amp;$L$21&amp;" is more than F00-05"&amp;CHAR(10),""),IF(M13&gt;M12," * F00-06 "&amp;$L$20&amp;" "&amp;$M$21&amp;" is more than F00-05"&amp;CHAR(10),""),IF(N13&gt;N12," * F00-06 "&amp;$N$20&amp;" "&amp;$N$21&amp;" is more than F00-05"&amp;CHAR(10),""),IF(O13&gt;O12," * F00-06 "&amp;$N$20&amp;" "&amp;$O$21&amp;" is more than F00-05"&amp;CHAR(10),""),IF(P13&gt;P12," * F00-06 "&amp;$P$20&amp;" "&amp;$P$21&amp;" is more than F00-05"&amp;CHAR(10),""),IF(Q13&gt;Q12," * F00-06 "&amp;$P$20&amp;" "&amp;$Q$21&amp;" is more than F00-05"&amp;CHAR(10),""),IF(R13&gt;R12," * F00-06 "&amp;$R$20&amp;" "&amp;$R$21&amp;" is more than F00-05"&amp;CHAR(10),""),IF(S13&gt;S12," * F00-06 "&amp;$R$20&amp;" "&amp;$S$21&amp;" is more than F00-05"&amp;CHAR(10),""),IF(T13&gt;T12," * F00-06 "&amp;$T$20&amp;" "&amp;$T$21&amp;" is more than F00-05"&amp;CHAR(10),""),IF(U13&gt;U12," * F00-06 "&amp;$T$20&amp;" "&amp;$U$21&amp;" is more than F00-05"&amp;CHAR(10),""),IF(V13&gt;V12," * F00-06 "&amp;$V$20&amp;" "&amp;$V$21&amp;" is more than F00-05"&amp;CHAR(10),""),IF(W13&gt;W12," * F00-06 "&amp;$V$20&amp;" "&amp;$W$21&amp;" is more than F00-05"&amp;CHAR(10),""),IF(X13&gt;X12," * F00-06 "&amp;$X$20&amp;" "&amp;$X$21&amp;" is more than F00-05"&amp;CHAR(10),""),IF(Y13&gt;Y12," * F00-06 "&amp;$X$20&amp;" "&amp;$Y$21&amp;" is more than F00-05"&amp;CHAR(10),""),IF(Z13&gt;Z12," * F00-06 "&amp;$Z$20&amp;" "&amp;$Z$21&amp;" is more than F00-05"&amp;CHAR(10),""),IF(AA13&gt;AA12," * F00-06 "&amp;$Z$20&amp;" "&amp;$AA$21&amp;" is more than F00-05"&amp;CHAR(10),""))</f>
        <v/>
      </c>
      <c r="AL12" s="1223"/>
      <c r="AM12" s="31"/>
      <c r="AN12" s="1210"/>
      <c r="AO12" s="1215"/>
      <c r="AP12" s="292"/>
      <c r="AQ12"/>
    </row>
    <row r="13" spans="1:43" ht="25.9" hidden="1" customHeight="1" thickBot="1" x14ac:dyDescent="0.45">
      <c r="A13" s="1250"/>
      <c r="B13" s="3" t="s">
        <v>445</v>
      </c>
      <c r="C13" s="556" t="s">
        <v>799</v>
      </c>
      <c r="D13" s="53"/>
      <c r="E13" s="54"/>
      <c r="F13" s="54"/>
      <c r="G13" s="54"/>
      <c r="H13" s="54"/>
      <c r="I13" s="54"/>
      <c r="J13" s="54"/>
      <c r="K13" s="54"/>
      <c r="L13" s="54"/>
      <c r="M13" s="54"/>
      <c r="N13" s="54"/>
      <c r="O13" s="54"/>
      <c r="P13" s="54"/>
      <c r="Q13" s="54"/>
      <c r="R13" s="54"/>
      <c r="S13" s="54"/>
      <c r="T13" s="54"/>
      <c r="U13" s="54"/>
      <c r="V13" s="54"/>
      <c r="W13" s="54"/>
      <c r="X13" s="54"/>
      <c r="Y13" s="54"/>
      <c r="Z13" s="54"/>
      <c r="AA13" s="55"/>
      <c r="AB13" s="303"/>
      <c r="AC13" s="303"/>
      <c r="AD13" s="303"/>
      <c r="AE13" s="303"/>
      <c r="AF13" s="303"/>
      <c r="AG13" s="303"/>
      <c r="AH13" s="303"/>
      <c r="AI13" s="303"/>
      <c r="AJ13" s="56">
        <f t="shared" si="1"/>
        <v>0</v>
      </c>
      <c r="AK13" s="45"/>
      <c r="AL13" s="1223"/>
      <c r="AM13" s="31"/>
      <c r="AN13" s="1210"/>
      <c r="AO13" s="1215"/>
      <c r="AP13" s="292"/>
      <c r="AQ13"/>
    </row>
    <row r="14" spans="1:43" s="61" customFormat="1" ht="51.4" hidden="1" customHeight="1" thickBot="1" x14ac:dyDescent="0.45">
      <c r="A14" s="946" t="s">
        <v>860</v>
      </c>
      <c r="B14" s="57" t="s">
        <v>806</v>
      </c>
      <c r="C14" s="557" t="s">
        <v>800</v>
      </c>
      <c r="D14" s="58">
        <f t="shared" ref="D14:E14" si="2">D13+D10</f>
        <v>0</v>
      </c>
      <c r="E14" s="58">
        <f t="shared" si="2"/>
        <v>0</v>
      </c>
      <c r="F14" s="58">
        <f>F13+F10</f>
        <v>0</v>
      </c>
      <c r="G14" s="58">
        <f t="shared" ref="G14:AA14" si="3">G13+G10</f>
        <v>0</v>
      </c>
      <c r="H14" s="58">
        <f t="shared" si="3"/>
        <v>0</v>
      </c>
      <c r="I14" s="58">
        <f t="shared" si="3"/>
        <v>0</v>
      </c>
      <c r="J14" s="58">
        <f t="shared" si="3"/>
        <v>0</v>
      </c>
      <c r="K14" s="58">
        <f t="shared" si="3"/>
        <v>0</v>
      </c>
      <c r="L14" s="58">
        <f t="shared" si="3"/>
        <v>0</v>
      </c>
      <c r="M14" s="58">
        <f t="shared" si="3"/>
        <v>0</v>
      </c>
      <c r="N14" s="58">
        <f t="shared" si="3"/>
        <v>0</v>
      </c>
      <c r="O14" s="58">
        <f t="shared" si="3"/>
        <v>0</v>
      </c>
      <c r="P14" s="58">
        <f t="shared" si="3"/>
        <v>0</v>
      </c>
      <c r="Q14" s="58">
        <f t="shared" si="3"/>
        <v>0</v>
      </c>
      <c r="R14" s="58">
        <f t="shared" si="3"/>
        <v>0</v>
      </c>
      <c r="S14" s="58">
        <f t="shared" si="3"/>
        <v>0</v>
      </c>
      <c r="T14" s="58">
        <f t="shared" si="3"/>
        <v>0</v>
      </c>
      <c r="U14" s="58">
        <f t="shared" si="3"/>
        <v>0</v>
      </c>
      <c r="V14" s="58">
        <f t="shared" si="3"/>
        <v>0</v>
      </c>
      <c r="W14" s="58">
        <f t="shared" si="3"/>
        <v>0</v>
      </c>
      <c r="X14" s="58">
        <f t="shared" si="3"/>
        <v>0</v>
      </c>
      <c r="Y14" s="58">
        <f t="shared" si="3"/>
        <v>0</v>
      </c>
      <c r="Z14" s="58">
        <f t="shared" si="3"/>
        <v>0</v>
      </c>
      <c r="AA14" s="58">
        <f t="shared" si="3"/>
        <v>0</v>
      </c>
      <c r="AB14" s="304"/>
      <c r="AC14" s="304"/>
      <c r="AD14" s="304"/>
      <c r="AE14" s="304"/>
      <c r="AF14" s="304"/>
      <c r="AG14" s="304"/>
      <c r="AH14" s="304"/>
      <c r="AI14" s="304"/>
      <c r="AJ14" s="59">
        <f t="shared" si="1"/>
        <v>0</v>
      </c>
      <c r="AK14" s="30"/>
      <c r="AL14" s="1223"/>
      <c r="AM14" s="60"/>
      <c r="AN14" s="1210"/>
      <c r="AO14" s="1215"/>
      <c r="AP14" s="292"/>
      <c r="AQ14"/>
    </row>
    <row r="15" spans="1:43" ht="25.9" hidden="1" customHeight="1" thickBot="1" x14ac:dyDescent="0.45">
      <c r="A15" s="1248" t="s">
        <v>796</v>
      </c>
      <c r="B15" s="1" t="s">
        <v>805</v>
      </c>
      <c r="C15" s="557" t="s">
        <v>801</v>
      </c>
      <c r="D15" s="62"/>
      <c r="E15" s="63"/>
      <c r="F15" s="63"/>
      <c r="G15" s="63"/>
      <c r="H15" s="63"/>
      <c r="I15" s="63"/>
      <c r="J15" s="63"/>
      <c r="K15" s="63"/>
      <c r="L15" s="63"/>
      <c r="M15" s="63"/>
      <c r="N15" s="63"/>
      <c r="O15" s="63"/>
      <c r="P15" s="63"/>
      <c r="Q15" s="63"/>
      <c r="R15" s="63"/>
      <c r="S15" s="63"/>
      <c r="T15" s="63"/>
      <c r="U15" s="63"/>
      <c r="V15" s="63"/>
      <c r="W15" s="63"/>
      <c r="X15" s="63"/>
      <c r="Y15" s="63"/>
      <c r="Z15" s="63"/>
      <c r="AA15" s="64"/>
      <c r="AB15" s="305"/>
      <c r="AC15" s="305"/>
      <c r="AD15" s="305"/>
      <c r="AE15" s="305"/>
      <c r="AF15" s="305"/>
      <c r="AG15" s="305"/>
      <c r="AH15" s="305"/>
      <c r="AI15" s="305"/>
      <c r="AJ15" s="65">
        <f t="shared" si="1"/>
        <v>0</v>
      </c>
      <c r="AK15" s="30" t="str">
        <f>CONCATENATE(IF(D16&gt;D15," * F00-08 "&amp;$D$20&amp;" "&amp;$D$21&amp;" is more than F00-07"&amp;CHAR(10),""),IF(E16&gt;E15," * F00-08 "&amp;$D$20&amp;" "&amp;$E$21&amp;" is more than F00-07"&amp;CHAR(10),""),IF(F16&gt;F15," * F00-08 "&amp;$F$20&amp;" "&amp;$F$21&amp;" is more than F00-07"&amp;CHAR(10),""),IF(G16&gt;G15," * F00-08 "&amp;$F$20&amp;" "&amp;$G$21&amp;" is more than F00-07"&amp;CHAR(10),""),IF(H16&gt;H15," * F00-08 "&amp;$H$20&amp;" "&amp;$H$21&amp;" is more than F00-07"&amp;CHAR(10),""),IF(I16&gt;I15," * F00-08 "&amp;$H$20&amp;" "&amp;$I$21&amp;" is more than F00-07"&amp;CHAR(10),""),IF(J16&gt;J15," * F00-08 "&amp;$J$20&amp;" "&amp;$J$21&amp;" is more than F00-07"&amp;CHAR(10),""),IF(K16&gt;K15," * F00-08 "&amp;$J$20&amp;" "&amp;$K$21&amp;" is more than F00-07"&amp;CHAR(10),""),IF(L16&gt;L15," * F00-08 "&amp;$L$20&amp;" "&amp;$L$21&amp;" is more than F00-07"&amp;CHAR(10),""),IF(M16&gt;M15," * F00-08 "&amp;$L$20&amp;" "&amp;$M$21&amp;" is more than F00-07"&amp;CHAR(10),""),IF(N16&gt;N15," * F00-08 "&amp;$N$20&amp;" "&amp;$N$21&amp;" is more than F00-07"&amp;CHAR(10),""),IF(O16&gt;O15," * F00-08 "&amp;$N$20&amp;" "&amp;$O$21&amp;" is more than F00-07"&amp;CHAR(10),""),IF(P16&gt;P15," * F00-08 "&amp;$P$20&amp;" "&amp;$P$21&amp;" is more than F00-07"&amp;CHAR(10),""),IF(Q16&gt;Q15," * F00-08 "&amp;$P$20&amp;" "&amp;$Q$21&amp;" is more than F00-07"&amp;CHAR(10),""),IF(R16&gt;R15," * F00-08 "&amp;$R$20&amp;" "&amp;$R$21&amp;" is more than F00-07"&amp;CHAR(10),""),IF(S16&gt;S15," * F00-08 "&amp;$R$20&amp;" "&amp;$S$21&amp;" is more than F00-07"&amp;CHAR(10),""),IF(T16&gt;T15," * F00-08 "&amp;$T$20&amp;" "&amp;$T$21&amp;" is more than F00-07"&amp;CHAR(10),""),IF(U16&gt;U15," * F00-08 "&amp;$T$20&amp;" "&amp;$U$21&amp;" is more than F00-07"&amp;CHAR(10),""),IF(V16&gt;V15," * F00-08 "&amp;$V$20&amp;" "&amp;$V$21&amp;" is more than F00-07"&amp;CHAR(10),""),IF(W16&gt;W15," * F00-08 "&amp;$V$20&amp;" "&amp;$W$21&amp;" is more than F00-07"&amp;CHAR(10),""),IF(X16&gt;X15," * F00-08 "&amp;$X$20&amp;" "&amp;$X$21&amp;" is more than F00-07"&amp;CHAR(10),""),IF(Y16&gt;Y15," * F00-08 "&amp;$X$20&amp;" "&amp;$Y$21&amp;" is more than F00-07"&amp;CHAR(10),""),IF(Z16&gt;Z15," * F00-08 "&amp;$Z$20&amp;" "&amp;$Z$21&amp;" is more than F00-07"&amp;CHAR(10),""),IF(AA16&gt;AA15," * F00-08 "&amp;$Z$20&amp;" "&amp;$AA$21&amp;" is more than F00-07"&amp;CHAR(10),""))</f>
        <v/>
      </c>
      <c r="AL15" s="1223"/>
      <c r="AM15" s="31"/>
      <c r="AN15" s="1210"/>
      <c r="AO15" s="1215"/>
      <c r="AP15" s="292"/>
      <c r="AQ15"/>
    </row>
    <row r="16" spans="1:43" ht="25.9" hidden="1" customHeight="1" thickBot="1" x14ac:dyDescent="0.45">
      <c r="A16" s="1249"/>
      <c r="B16" s="2" t="s">
        <v>611</v>
      </c>
      <c r="C16" s="555" t="s">
        <v>802</v>
      </c>
      <c r="D16" s="49"/>
      <c r="E16" s="50"/>
      <c r="F16" s="50"/>
      <c r="G16" s="50"/>
      <c r="H16" s="50"/>
      <c r="I16" s="50"/>
      <c r="J16" s="50"/>
      <c r="K16" s="50"/>
      <c r="L16" s="50"/>
      <c r="M16" s="50"/>
      <c r="N16" s="50"/>
      <c r="O16" s="50"/>
      <c r="P16" s="50"/>
      <c r="Q16" s="50"/>
      <c r="R16" s="50"/>
      <c r="S16" s="50"/>
      <c r="T16" s="50"/>
      <c r="U16" s="50"/>
      <c r="V16" s="50"/>
      <c r="W16" s="50"/>
      <c r="X16" s="50"/>
      <c r="Y16" s="50"/>
      <c r="Z16" s="50"/>
      <c r="AA16" s="51"/>
      <c r="AB16" s="302"/>
      <c r="AC16" s="302"/>
      <c r="AD16" s="302"/>
      <c r="AE16" s="302"/>
      <c r="AF16" s="302"/>
      <c r="AG16" s="302"/>
      <c r="AH16" s="302"/>
      <c r="AI16" s="302"/>
      <c r="AJ16" s="66">
        <f t="shared" si="1"/>
        <v>0</v>
      </c>
      <c r="AK16" s="30" t="str">
        <f>CONCATENATE(IF(D17&gt;D16," * F00-09 "&amp;$D$20&amp;" "&amp;$D$21&amp;" is more than F00-08"&amp;CHAR(10),""),IF(E17&gt;E16," * F00-09 "&amp;$D$20&amp;" "&amp;$E$21&amp;" is more than F00-08"&amp;CHAR(10),""),IF(F17&gt;F16," * F00-09 "&amp;$F$20&amp;" "&amp;$F$21&amp;" is more than F00-08"&amp;CHAR(10),""),IF(G17&gt;G16," * F00-09 "&amp;$F$20&amp;" "&amp;$G$21&amp;" is more than F00-08"&amp;CHAR(10),""),IF(H17&gt;H16," * F00-09 "&amp;$H$20&amp;" "&amp;$H$21&amp;" is more than F00-08"&amp;CHAR(10),""),IF(I17&gt;I16," * F00-09 "&amp;$H$20&amp;" "&amp;$I$21&amp;" is more than F00-08"&amp;CHAR(10),""),IF(J17&gt;J16," * F00-09 "&amp;$J$20&amp;" "&amp;$J$21&amp;" is more than F00-08"&amp;CHAR(10),""),IF(K17&gt;K16," * F00-09 "&amp;$J$20&amp;" "&amp;$K$21&amp;" is more than F00-08"&amp;CHAR(10),""),IF(L17&gt;L16," * F00-09 "&amp;$L$20&amp;" "&amp;$L$21&amp;" is more than F00-08"&amp;CHAR(10),""),IF(M17&gt;M16," * F00-09 "&amp;$L$20&amp;" "&amp;$M$21&amp;" is more than F00-08"&amp;CHAR(10),""),IF(N17&gt;N16," * F00-09 "&amp;$N$20&amp;" "&amp;$N$21&amp;" is more than F00-08"&amp;CHAR(10),""),IF(O17&gt;O16," * F00-09 "&amp;$N$20&amp;" "&amp;$O$21&amp;" is more than F00-08"&amp;CHAR(10),""),IF(P17&gt;P16," * F00-09 "&amp;$P$20&amp;" "&amp;$P$21&amp;" is more than F00-08"&amp;CHAR(10),""),IF(Q17&gt;Q16," * F00-09 "&amp;$P$20&amp;" "&amp;$Q$21&amp;" is more than F00-08"&amp;CHAR(10),""),IF(R17&gt;R16," * F00-09 "&amp;$R$20&amp;" "&amp;$R$21&amp;" is more than F00-08"&amp;CHAR(10),""),IF(S17&gt;S16," * F00-09 "&amp;$R$20&amp;" "&amp;$S$21&amp;" is more than F00-08"&amp;CHAR(10),""),IF(T17&gt;T16," * F00-09 "&amp;$T$20&amp;" "&amp;$T$21&amp;" is more than F00-08"&amp;CHAR(10),""),IF(U17&gt;U16," * F00-09 "&amp;$T$20&amp;" "&amp;$U$21&amp;" is more than F00-08"&amp;CHAR(10),""),IF(V17&gt;V16," * F00-09 "&amp;$V$20&amp;" "&amp;$V$21&amp;" is more than F00-08"&amp;CHAR(10),""),IF(W17&gt;W16," * F00-09 "&amp;$V$20&amp;" "&amp;$W$21&amp;" is more than F00-08"&amp;CHAR(10),""),IF(X17&gt;X16," * F00-09 "&amp;$X$20&amp;" "&amp;$X$21&amp;" is more than F00-08"&amp;CHAR(10),""),IF(Y17&gt;Y16," * F00-09 "&amp;$X$20&amp;" "&amp;$Y$21&amp;" is more than F00-08"&amp;CHAR(10),""),IF(Z17&gt;Z16," * F00-09 "&amp;$Z$20&amp;" "&amp;$Z$21&amp;" is more than F00-08"&amp;CHAR(10),""),IF(AA17&gt;AA16," * F00-09 "&amp;$Z$20&amp;" "&amp;$AA$21&amp;" is more than F00-08"&amp;CHAR(10),""))</f>
        <v/>
      </c>
      <c r="AL16" s="1223"/>
      <c r="AM16" s="31"/>
      <c r="AN16" s="1210"/>
      <c r="AO16" s="1215"/>
      <c r="AP16" s="292"/>
      <c r="AQ16"/>
    </row>
    <row r="17" spans="1:43" ht="25.9" hidden="1" customHeight="1" thickBot="1" x14ac:dyDescent="0.45">
      <c r="A17" s="1250"/>
      <c r="B17" s="3" t="s">
        <v>445</v>
      </c>
      <c r="C17" s="556" t="s">
        <v>803</v>
      </c>
      <c r="D17" s="53"/>
      <c r="E17" s="54"/>
      <c r="F17" s="54"/>
      <c r="G17" s="54"/>
      <c r="H17" s="54"/>
      <c r="I17" s="54"/>
      <c r="J17" s="54"/>
      <c r="K17" s="54"/>
      <c r="L17" s="54"/>
      <c r="M17" s="54"/>
      <c r="N17" s="54"/>
      <c r="O17" s="54"/>
      <c r="P17" s="54"/>
      <c r="Q17" s="54"/>
      <c r="R17" s="54"/>
      <c r="S17" s="54"/>
      <c r="T17" s="54"/>
      <c r="U17" s="54"/>
      <c r="V17" s="54"/>
      <c r="W17" s="54"/>
      <c r="X17" s="54"/>
      <c r="Y17" s="54"/>
      <c r="Z17" s="54"/>
      <c r="AA17" s="55"/>
      <c r="AB17" s="303"/>
      <c r="AC17" s="303"/>
      <c r="AD17" s="303"/>
      <c r="AE17" s="303"/>
      <c r="AF17" s="303"/>
      <c r="AG17" s="303"/>
      <c r="AH17" s="303"/>
      <c r="AI17" s="303"/>
      <c r="AJ17" s="67">
        <f t="shared" si="1"/>
        <v>0</v>
      </c>
      <c r="AK17" s="45"/>
      <c r="AL17" s="1223"/>
      <c r="AM17" s="31"/>
      <c r="AN17" s="1210"/>
      <c r="AO17" s="1215"/>
      <c r="AP17" s="292"/>
      <c r="AQ17"/>
    </row>
    <row r="18" spans="1:43" ht="25.9" hidden="1" customHeight="1" thickBot="1" x14ac:dyDescent="0.45">
      <c r="A18" s="947"/>
      <c r="B18" s="293" t="s">
        <v>945</v>
      </c>
      <c r="C18" s="554" t="s">
        <v>936</v>
      </c>
      <c r="D18" s="58">
        <f t="shared" ref="D18:E18" si="4">D17+D13+D10</f>
        <v>0</v>
      </c>
      <c r="E18" s="58">
        <f t="shared" si="4"/>
        <v>0</v>
      </c>
      <c r="F18" s="58">
        <f>F17+F13+F10</f>
        <v>0</v>
      </c>
      <c r="G18" s="58">
        <f t="shared" ref="G18:AJ18" si="5">G17+G13+G10</f>
        <v>0</v>
      </c>
      <c r="H18" s="58">
        <f t="shared" si="5"/>
        <v>0</v>
      </c>
      <c r="I18" s="58">
        <f t="shared" si="5"/>
        <v>0</v>
      </c>
      <c r="J18" s="58">
        <f t="shared" si="5"/>
        <v>0</v>
      </c>
      <c r="K18" s="58">
        <f t="shared" si="5"/>
        <v>0</v>
      </c>
      <c r="L18" s="58">
        <f t="shared" si="5"/>
        <v>0</v>
      </c>
      <c r="M18" s="58">
        <f t="shared" si="5"/>
        <v>0</v>
      </c>
      <c r="N18" s="58">
        <f t="shared" si="5"/>
        <v>0</v>
      </c>
      <c r="O18" s="58">
        <f t="shared" si="5"/>
        <v>0</v>
      </c>
      <c r="P18" s="58">
        <f t="shared" si="5"/>
        <v>0</v>
      </c>
      <c r="Q18" s="58">
        <f t="shared" si="5"/>
        <v>0</v>
      </c>
      <c r="R18" s="58">
        <f t="shared" si="5"/>
        <v>0</v>
      </c>
      <c r="S18" s="58">
        <f t="shared" si="5"/>
        <v>0</v>
      </c>
      <c r="T18" s="58">
        <f t="shared" si="5"/>
        <v>0</v>
      </c>
      <c r="U18" s="58">
        <f t="shared" si="5"/>
        <v>0</v>
      </c>
      <c r="V18" s="58">
        <f t="shared" si="5"/>
        <v>0</v>
      </c>
      <c r="W18" s="58">
        <f t="shared" si="5"/>
        <v>0</v>
      </c>
      <c r="X18" s="58">
        <f t="shared" si="5"/>
        <v>0</v>
      </c>
      <c r="Y18" s="58">
        <f t="shared" si="5"/>
        <v>0</v>
      </c>
      <c r="Z18" s="58">
        <f t="shared" si="5"/>
        <v>0</v>
      </c>
      <c r="AA18" s="58">
        <f t="shared" si="5"/>
        <v>0</v>
      </c>
      <c r="AB18" s="58"/>
      <c r="AC18" s="58"/>
      <c r="AD18" s="58"/>
      <c r="AE18" s="58"/>
      <c r="AF18" s="58"/>
      <c r="AG18" s="58"/>
      <c r="AH18" s="58"/>
      <c r="AI18" s="58"/>
      <c r="AJ18" s="58">
        <f t="shared" si="5"/>
        <v>0</v>
      </c>
      <c r="AK18" s="294"/>
      <c r="AL18" s="1223"/>
      <c r="AM18" s="123"/>
      <c r="AN18" s="1210"/>
      <c r="AO18" s="1215"/>
      <c r="AP18" s="292"/>
      <c r="AQ18"/>
    </row>
    <row r="19" spans="1:43" ht="36.75" customHeight="1" thickBot="1" x14ac:dyDescent="0.4">
      <c r="A19" s="1120" t="s">
        <v>12</v>
      </c>
      <c r="B19" s="1118"/>
      <c r="C19" s="1118"/>
      <c r="D19" s="1118"/>
      <c r="E19" s="1118"/>
      <c r="F19" s="1118"/>
      <c r="G19" s="1118"/>
      <c r="H19" s="1118"/>
      <c r="I19" s="1118"/>
      <c r="J19" s="1118"/>
      <c r="K19" s="1118"/>
      <c r="L19" s="1118"/>
      <c r="M19" s="1118"/>
      <c r="N19" s="1118"/>
      <c r="O19" s="1118"/>
      <c r="P19" s="1118"/>
      <c r="Q19" s="1118"/>
      <c r="R19" s="1118"/>
      <c r="S19" s="1118"/>
      <c r="T19" s="1118"/>
      <c r="U19" s="1118"/>
      <c r="V19" s="1118"/>
      <c r="W19" s="1118"/>
      <c r="X19" s="1118"/>
      <c r="Y19" s="1118"/>
      <c r="Z19" s="1118"/>
      <c r="AA19" s="1118"/>
      <c r="AB19" s="1118"/>
      <c r="AC19" s="1118"/>
      <c r="AD19" s="1118"/>
      <c r="AE19" s="1118"/>
      <c r="AF19" s="1118"/>
      <c r="AG19" s="1118"/>
      <c r="AH19" s="1118"/>
      <c r="AI19" s="1118"/>
      <c r="AJ19" s="1118"/>
      <c r="AK19" s="1118"/>
      <c r="AL19" s="1118"/>
      <c r="AM19" s="1118"/>
      <c r="AN19" s="1202"/>
      <c r="AO19" s="1215"/>
      <c r="AP19" s="291" t="str">
        <f>HYPERLINK("#PREP","2.0 Prep New &amp; CURR")</f>
        <v>2.0 Prep New &amp; CURR</v>
      </c>
      <c r="AQ19" s="291" t="str">
        <f>HYPERLINK("#HAART","6.2 PMTCT HAART")</f>
        <v>6.2 PMTCT HAART</v>
      </c>
    </row>
    <row r="20" spans="1:43" s="14" customFormat="1" ht="33" customHeight="1" thickBot="1" x14ac:dyDescent="0.4">
      <c r="A20" s="1164" t="s">
        <v>36</v>
      </c>
      <c r="B20" s="1160" t="s">
        <v>321</v>
      </c>
      <c r="C20" s="1162" t="s">
        <v>305</v>
      </c>
      <c r="D20" s="1166" t="s">
        <v>0</v>
      </c>
      <c r="E20" s="1166"/>
      <c r="F20" s="1166" t="s">
        <v>1</v>
      </c>
      <c r="G20" s="1166"/>
      <c r="H20" s="1166" t="s">
        <v>2</v>
      </c>
      <c r="I20" s="1166"/>
      <c r="J20" s="1166" t="s">
        <v>3</v>
      </c>
      <c r="K20" s="1166"/>
      <c r="L20" s="1166" t="s">
        <v>4</v>
      </c>
      <c r="M20" s="1166"/>
      <c r="N20" s="1166" t="s">
        <v>5</v>
      </c>
      <c r="O20" s="1166"/>
      <c r="P20" s="1166" t="s">
        <v>6</v>
      </c>
      <c r="Q20" s="1166"/>
      <c r="R20" s="1166" t="s">
        <v>7</v>
      </c>
      <c r="S20" s="1166"/>
      <c r="T20" s="1166" t="s">
        <v>8</v>
      </c>
      <c r="U20" s="1166"/>
      <c r="V20" s="1166" t="s">
        <v>23</v>
      </c>
      <c r="W20" s="1166"/>
      <c r="X20" s="1166" t="s">
        <v>24</v>
      </c>
      <c r="Y20" s="1166"/>
      <c r="Z20" s="1166" t="s">
        <v>9</v>
      </c>
      <c r="AA20" s="1166"/>
      <c r="AB20" s="1140" t="s">
        <v>963</v>
      </c>
      <c r="AC20" s="1184"/>
      <c r="AD20" s="1140" t="s">
        <v>964</v>
      </c>
      <c r="AE20" s="1184"/>
      <c r="AF20" s="1140" t="s">
        <v>1127</v>
      </c>
      <c r="AG20" s="1184"/>
      <c r="AH20" s="1140" t="s">
        <v>1128</v>
      </c>
      <c r="AI20" s="1184"/>
      <c r="AJ20" s="1254" t="s">
        <v>19</v>
      </c>
      <c r="AK20" s="1211" t="s">
        <v>354</v>
      </c>
      <c r="AL20" s="1187" t="s">
        <v>360</v>
      </c>
      <c r="AM20" s="1179" t="s">
        <v>361</v>
      </c>
      <c r="AN20" s="1243" t="s">
        <v>361</v>
      </c>
      <c r="AO20" s="1215"/>
      <c r="AP20" s="291" t="str">
        <f>HYPERLINK("#IPT","3.0 IPT")</f>
        <v>3.0 IPT</v>
      </c>
      <c r="AQ20" s="291" t="str">
        <f>HYPERLINK("#ART","7.0 HIV &amp; TB SCREEN")</f>
        <v>7.0 HIV &amp; TB SCREEN</v>
      </c>
    </row>
    <row r="21" spans="1:43" s="14" customFormat="1" ht="33" customHeight="1" thickBot="1" x14ac:dyDescent="0.4">
      <c r="A21" s="1165"/>
      <c r="B21" s="1161"/>
      <c r="C21" s="1231"/>
      <c r="D21" s="68" t="s">
        <v>10</v>
      </c>
      <c r="E21" s="68" t="s">
        <v>11</v>
      </c>
      <c r="F21" s="68" t="s">
        <v>10</v>
      </c>
      <c r="G21" s="68" t="s">
        <v>11</v>
      </c>
      <c r="H21" s="68" t="s">
        <v>10</v>
      </c>
      <c r="I21" s="68" t="s">
        <v>11</v>
      </c>
      <c r="J21" s="68" t="s">
        <v>10</v>
      </c>
      <c r="K21" s="68" t="s">
        <v>11</v>
      </c>
      <c r="L21" s="68" t="s">
        <v>10</v>
      </c>
      <c r="M21" s="68" t="s">
        <v>11</v>
      </c>
      <c r="N21" s="68" t="s">
        <v>10</v>
      </c>
      <c r="O21" s="68" t="s">
        <v>11</v>
      </c>
      <c r="P21" s="68" t="s">
        <v>10</v>
      </c>
      <c r="Q21" s="68" t="s">
        <v>11</v>
      </c>
      <c r="R21" s="68" t="s">
        <v>10</v>
      </c>
      <c r="S21" s="68" t="s">
        <v>11</v>
      </c>
      <c r="T21" s="68" t="s">
        <v>10</v>
      </c>
      <c r="U21" s="68" t="s">
        <v>11</v>
      </c>
      <c r="V21" s="68" t="s">
        <v>10</v>
      </c>
      <c r="W21" s="68" t="s">
        <v>11</v>
      </c>
      <c r="X21" s="68" t="s">
        <v>10</v>
      </c>
      <c r="Y21" s="68" t="s">
        <v>11</v>
      </c>
      <c r="Z21" s="68" t="s">
        <v>10</v>
      </c>
      <c r="AA21" s="68" t="s">
        <v>11</v>
      </c>
      <c r="AB21" s="284" t="s">
        <v>10</v>
      </c>
      <c r="AC21" s="284" t="s">
        <v>11</v>
      </c>
      <c r="AD21" s="284" t="s">
        <v>10</v>
      </c>
      <c r="AE21" s="284" t="s">
        <v>11</v>
      </c>
      <c r="AF21" s="284" t="s">
        <v>10</v>
      </c>
      <c r="AG21" s="284" t="s">
        <v>11</v>
      </c>
      <c r="AH21" s="284" t="s">
        <v>10</v>
      </c>
      <c r="AI21" s="284" t="s">
        <v>11</v>
      </c>
      <c r="AJ21" s="1255"/>
      <c r="AK21" s="1212"/>
      <c r="AL21" s="1138"/>
      <c r="AM21" s="1252"/>
      <c r="AN21" s="1244"/>
      <c r="AO21" s="1215"/>
      <c r="AP21" s="291" t="str">
        <f>HYPERLINK("#CXCA","4.0 CXCA")</f>
        <v>4.0 CXCA</v>
      </c>
      <c r="AQ21" s="291" t="str">
        <f>HYPERLINK("#TB","9.0 HIV TB Clinic")</f>
        <v>9.0 HIV TB Clinic</v>
      </c>
    </row>
    <row r="22" spans="1:43" ht="26.25" x14ac:dyDescent="0.4">
      <c r="A22" s="1156" t="s">
        <v>109</v>
      </c>
      <c r="B22" s="69" t="s">
        <v>959</v>
      </c>
      <c r="C22" s="558" t="s">
        <v>129</v>
      </c>
      <c r="D22" s="134"/>
      <c r="E22" s="99"/>
      <c r="F22" s="94"/>
      <c r="G22" s="94"/>
      <c r="H22" s="94"/>
      <c r="I22" s="366"/>
      <c r="J22" s="94"/>
      <c r="K22" s="94"/>
      <c r="L22" s="94"/>
      <c r="M22" s="94"/>
      <c r="N22" s="94"/>
      <c r="O22" s="94"/>
      <c r="P22" s="94"/>
      <c r="Q22" s="94"/>
      <c r="R22" s="94"/>
      <c r="S22" s="94"/>
      <c r="T22" s="94"/>
      <c r="U22" s="94"/>
      <c r="V22" s="94"/>
      <c r="W22" s="94"/>
      <c r="X22" s="94"/>
      <c r="Y22" s="94"/>
      <c r="Z22" s="489">
        <f t="shared" ref="Z22" si="6">SUM(AB22,AD22,AF22,AH22)</f>
        <v>0</v>
      </c>
      <c r="AA22" s="1005">
        <f t="shared" ref="AA22" si="7">SUM(AC22,AE22,AG22,AI22)</f>
        <v>0</v>
      </c>
      <c r="AB22" s="399"/>
      <c r="AC22" s="310"/>
      <c r="AD22" s="94"/>
      <c r="AE22" s="310"/>
      <c r="AF22" s="94"/>
      <c r="AG22" s="310"/>
      <c r="AH22" s="94"/>
      <c r="AI22" s="505"/>
      <c r="AJ22" s="188">
        <f t="shared" ref="AJ22:AJ27" si="8">SUM(D22:AA22)</f>
        <v>0</v>
      </c>
      <c r="AK22" s="1253" t="str">
        <f>CONCATENATE(IF(D23&gt;D22," * F01-02 "&amp;$D$20&amp;" "&amp;$D$21&amp;" is more than F01-01"&amp;CHAR(10),""),IF(E23&gt;E22," * F01-02 "&amp;$D$20&amp;" "&amp;$E$21&amp;" is more than F01-01"&amp;CHAR(10),""),IF(F23&gt;F22," * F01-02 "&amp;$F$20&amp;" "&amp;$F$21&amp;" is more than F01-01"&amp;CHAR(10),""),IF(G23&gt;G22," * F01-02 "&amp;$F$20&amp;" "&amp;$G$21&amp;" is more than F01-01"&amp;CHAR(10),""),IF(H23&gt;H22," * F01-02 "&amp;$H$20&amp;" "&amp;$H$21&amp;" is more than F01-01"&amp;CHAR(10),""),IF(I23&gt;I22," * F01-02 "&amp;$H$20&amp;" "&amp;$I$21&amp;" is more than F01-01"&amp;CHAR(10),""),IF(J23&gt;J22," * F01-02 "&amp;$J$20&amp;" "&amp;$J$21&amp;" is more than F01-01"&amp;CHAR(10),""),IF(K23&gt;K22," * F01-02 "&amp;$J$20&amp;" "&amp;$K$21&amp;" is more than F01-01"&amp;CHAR(10),""),IF(L23&gt;L22," * F01-02 "&amp;$L$20&amp;" "&amp;$L$21&amp;" is more than F01-01"&amp;CHAR(10),""),IF(M23&gt;M22," * F01-02 "&amp;$L$20&amp;" "&amp;$M$21&amp;" is more than F01-01"&amp;CHAR(10),""),IF(N23&gt;N22," * F01-02 "&amp;$N$20&amp;" "&amp;$N$21&amp;" is more than F01-01"&amp;CHAR(10),""),IF(O23&gt;O22," * F01-02 "&amp;$N$20&amp;" "&amp;$O$21&amp;" is more than F01-01"&amp;CHAR(10),""),IF(P23&gt;P22," * F01-02 "&amp;$P$20&amp;" "&amp;$P$21&amp;" is more than F01-01"&amp;CHAR(10),""),IF(Q23&gt;Q22," * F01-02 "&amp;$P$20&amp;" "&amp;$Q$21&amp;" is more than F01-01"&amp;CHAR(10),""),IF(R23&gt;R22," * F01-02 "&amp;$R$20&amp;" "&amp;$R$21&amp;" is more than F01-01"&amp;CHAR(10),""),IF(S23&gt;S22," * F01-02 "&amp;$R$20&amp;" "&amp;$S$21&amp;" is more than F01-01"&amp;CHAR(10),""),IF(T23&gt;T22," * F01-02 "&amp;$T$20&amp;" "&amp;$T$21&amp;" is more than F01-01"&amp;CHAR(10),""),IF(U23&gt;U22," * F01-02 "&amp;$T$20&amp;" "&amp;$U$21&amp;" is more than F01-01"&amp;CHAR(10),""),IF(V23&gt;V22," * F01-02 "&amp;$V$20&amp;" "&amp;$V$21&amp;" is more than F01-01"&amp;CHAR(10),""),IF(W23&gt;W22," * F01-02 "&amp;$V$20&amp;" "&amp;$W$21&amp;" is more than F01-01"&amp;CHAR(10),""),IF(X23&gt;X22," * F01-02 "&amp;$X$20&amp;" "&amp;$X$21&amp;" is more than F01-01"&amp;CHAR(10),""),IF(Y23&gt;Y22," * F01-02 "&amp;$X$20&amp;" "&amp;$Y$21&amp;" is more than F01-01"&amp;CHAR(10),""),IF(Z23&gt;Z22," * F01-02 "&amp;$Z$20&amp;" "&amp;$Z$21&amp;" is more than F01-01"&amp;CHAR(10),""),IF(AA23&gt;AA22," * F01-02 "&amp;$Z$20&amp;" "&amp;$AA$21&amp;" is more than F01-01"&amp;CHAR(10),""))</f>
        <v/>
      </c>
      <c r="AL22" s="1141" t="str">
        <f>CONCATENATE(AK22,AK24,AK25,AK27,AK29,AK30,AK31,AK33,AK35,AK37,AK39,AK41,AK43,AK45,AK47,AK49,AK54,AK32,AK52,AK51,AK53,AK59,AK61,AK26,AK55,AK56,AK57)</f>
        <v/>
      </c>
      <c r="AM22" s="73"/>
      <c r="AN22" s="1240" t="str">
        <f>CONCATENATE(AM22,AM23,AM24,AM25,AM27,AM28,AM29,AM30,AM31,AM33,AM34,AM35,AM36,AM37,AM38,AM39,AM40,AM41,AM42,AM43,AM44,AM45,AM46,AM47,AM48,AM49,AM50,AM54,AM55)</f>
        <v/>
      </c>
      <c r="AO22" s="13">
        <v>21</v>
      </c>
      <c r="AP22" s="74"/>
      <c r="AQ22" s="75"/>
    </row>
    <row r="23" spans="1:43" ht="26.25" x14ac:dyDescent="0.4">
      <c r="A23" s="1157"/>
      <c r="B23" s="76" t="s">
        <v>960</v>
      </c>
      <c r="C23" s="559" t="s">
        <v>131</v>
      </c>
      <c r="D23" s="135"/>
      <c r="E23" s="78"/>
      <c r="F23" s="79"/>
      <c r="G23" s="79"/>
      <c r="H23" s="79"/>
      <c r="I23" s="79"/>
      <c r="J23" s="79"/>
      <c r="K23" s="79"/>
      <c r="L23" s="79"/>
      <c r="M23" s="79"/>
      <c r="N23" s="79"/>
      <c r="O23" s="79"/>
      <c r="P23" s="79"/>
      <c r="Q23" s="79"/>
      <c r="R23" s="79"/>
      <c r="S23" s="79"/>
      <c r="T23" s="79"/>
      <c r="U23" s="79"/>
      <c r="V23" s="79"/>
      <c r="W23" s="79"/>
      <c r="X23" s="79"/>
      <c r="Y23" s="79"/>
      <c r="Z23" s="489">
        <f t="shared" ref="Z23:Z25" si="9">SUM(AB23,AD23,AF23,AH23)</f>
        <v>0</v>
      </c>
      <c r="AA23" s="1005">
        <f t="shared" ref="AA23:AA25" si="10">SUM(AC23,AE23,AG23,AI23)</f>
        <v>0</v>
      </c>
      <c r="AB23" s="400"/>
      <c r="AC23" s="307"/>
      <c r="AD23" s="79"/>
      <c r="AE23" s="307"/>
      <c r="AF23" s="79"/>
      <c r="AG23" s="307"/>
      <c r="AH23" s="79"/>
      <c r="AI23" s="506"/>
      <c r="AJ23" s="173">
        <f t="shared" si="8"/>
        <v>0</v>
      </c>
      <c r="AK23" s="1216"/>
      <c r="AL23" s="1142"/>
      <c r="AM23" s="31"/>
      <c r="AN23" s="1241"/>
      <c r="AO23" s="13">
        <v>22</v>
      </c>
      <c r="AP23" s="74"/>
      <c r="AQ23" s="75"/>
    </row>
    <row r="24" spans="1:43" s="61" customFormat="1" ht="26.25" x14ac:dyDescent="0.4">
      <c r="A24" s="1157"/>
      <c r="B24" s="76" t="s">
        <v>132</v>
      </c>
      <c r="C24" s="559" t="s">
        <v>322</v>
      </c>
      <c r="D24" s="135"/>
      <c r="E24" s="78"/>
      <c r="F24" s="79"/>
      <c r="G24" s="79"/>
      <c r="H24" s="79"/>
      <c r="I24" s="79"/>
      <c r="J24" s="79"/>
      <c r="K24" s="79"/>
      <c r="L24" s="79"/>
      <c r="M24" s="79"/>
      <c r="N24" s="79"/>
      <c r="O24" s="79"/>
      <c r="P24" s="79"/>
      <c r="Q24" s="79"/>
      <c r="R24" s="79"/>
      <c r="S24" s="79"/>
      <c r="T24" s="79"/>
      <c r="U24" s="79"/>
      <c r="V24" s="79"/>
      <c r="W24" s="79"/>
      <c r="X24" s="79"/>
      <c r="Y24" s="79"/>
      <c r="Z24" s="489">
        <f t="shared" si="9"/>
        <v>0</v>
      </c>
      <c r="AA24" s="1005">
        <f t="shared" si="10"/>
        <v>0</v>
      </c>
      <c r="AB24" s="400"/>
      <c r="AC24" s="307"/>
      <c r="AD24" s="79"/>
      <c r="AE24" s="307"/>
      <c r="AF24" s="79"/>
      <c r="AG24" s="307"/>
      <c r="AH24" s="79"/>
      <c r="AI24" s="506"/>
      <c r="AJ24" s="173">
        <f t="shared" si="8"/>
        <v>0</v>
      </c>
      <c r="AK24" s="45" t="str">
        <f>IF(AJ24&gt;0,IF(AJ23&lt;1,"Contacts were Elicited [ F01-03 ] yet no Patients Accepted Index Testing [F01-02]",""),"")</f>
        <v/>
      </c>
      <c r="AL24" s="1142"/>
      <c r="AM24" s="60" t="str">
        <f>CONCATENATE(IF(D24&lt;&gt;SUM(D25,D27,D30,D31)," * F01-03 for Age "&amp;D20&amp;" "&amp;D21&amp;" is not equal to the sum of (F01-04+F01-05+F01-08+F01-09)"&amp;CHAR(10),""),IF(E24&lt;&gt;SUM(E25,E27,E30,E31)," * F01-03 for Age "&amp;D20&amp;" "&amp;E21&amp;" is not equal to the sum of F01-04+F01-05+F01-08+F01-09"&amp;CHAR(10),""),IF(F24&lt;&gt;SUM(F25,F27,F30,F31)," * F01-03 for Age "&amp;F20&amp;" "&amp;F21&amp;" is not equal to the sum of (F01-04+F01-05+F01-08+F01-09)"&amp;CHAR(10),""),IF(G24&lt;&gt;SUM(G25,G27,G30,G31)," * F01-03 for Age "&amp;F20&amp;" "&amp;G21&amp;" is not equal to the sum of F01-04+F01-05+F01-08+F01-09"&amp;CHAR(10),""),IF(H24&lt;&gt;SUM(H25,H27,H30,H31)," * F01-03 for Age "&amp;H20&amp;" "&amp;H21&amp;" is not equal to the sum of (F01-04+F01-05+F01-08+F01-09)"&amp;CHAR(10),""),IF(I24&lt;&gt;SUM(I25,I27,I30,I31)," * F01-03 for Age "&amp;H20&amp;" "&amp;I21&amp;" is not equal to the sum of F01-04+F01-05+F01-08+F01-09"&amp;CHAR(10),""),IF(J24&lt;&gt;SUM(J25,J27,J30,J31)," * F01-03 for Age "&amp;J20&amp;" "&amp;J21&amp;" is not equal to the sum of (F01-04+F01-05+F01-08+F01-09)"&amp;CHAR(10),""),IF(K24&lt;&gt;SUM(K25,K27,K30,K31)," * F01-03 for Age "&amp;J20&amp;" "&amp;K21&amp;" is not equal to the sum of F01-04+F01-05+F01-08+F01-09"&amp;CHAR(10),""),IF(L24&lt;&gt;SUM(L25,L27,L30,L31)," * F01-03 for Age "&amp;L20&amp;" "&amp;L21&amp;" is not equal to the sum of (F01-04+F01-05+F01-08+F01-09)"&amp;CHAR(10),""),IF(M24&lt;&gt;SUM(M25,M27,M30,M31)," * F01-03 for Age "&amp;L20&amp;" "&amp;M21&amp;" is not equal to the sum of F01-04+F01-05+F01-08+F01-09"&amp;CHAR(10),""),IF(N24&lt;&gt;SUM(N25,N27,N30,N31)," * F01-03 for Age "&amp;N20&amp;" "&amp;N21&amp;" is not equal to the sum of (F01-04+F01-05+F01-08+F01-09)"&amp;CHAR(10),""),IF(O24&lt;&gt;SUM(O25,O27,O30,O31)," * F01-03 for Age "&amp;N20&amp;" "&amp;O21&amp;" is not equal to the sum of F01-04+F01-05+F01-08+F01-09"&amp;CHAR(10),""),IF(P24&lt;&gt;SUM(P25,P27,P30,P31)," * F01-03 for Age "&amp;P20&amp;" "&amp;P21&amp;" is not equal to the sum of (F01-04+F01-05+F01-08+F01-09)"&amp;CHAR(10),""),IF(Q24&lt;&gt;SUM(Q25,Q27,Q30,Q31)," * F01-03 for Age "&amp;P20&amp;" "&amp;Q21&amp;" is not equal to the sum of F01-04+F01-05+F01-08+F01-09"&amp;CHAR(10),""),IF(R24&lt;&gt;SUM(R25,R27,R30,R31)," * F01-03 for Age "&amp;R20&amp;" "&amp;R21&amp;" is not equal to the sum of (F01-04+F01-05+F01-08+F01-09)"&amp;CHAR(10),""),IF(S24&lt;&gt;SUM(S25,S27,S30,S31)," * F01-03 for Age "&amp;R20&amp;" "&amp;S21&amp;" is not equal to the sum of F01-04+F01-05+F01-08+F01-09"&amp;CHAR(10),""),IF(T24&lt;&gt;SUM(T25,T27,T30,T31)," * F01-03 for Age "&amp;T20&amp;" "&amp;T21&amp;" is not equal to the sum of (F01-04+F01-05+F01-08+F01-09)"&amp;CHAR(10),""),IF(U24&lt;&gt;SUM(U25,U27,U30,U31)," * F01-03 for Age "&amp;T20&amp;" "&amp;U21&amp;" is not equal to the sum of F01-04+F01-05+F01-08+F01-09"&amp;CHAR(10),""),IF(V24&lt;&gt;SUM(V25,V27,V30,V31)," * F01-03 for Age "&amp;V20&amp;" "&amp;V21&amp;" is not equal to the sum of (F01-04+F01-05+F01-08+F01-09)"&amp;CHAR(10),""),IF(W24&lt;&gt;SUM(W25,W27,W30,W31)," * F01-03 for Age "&amp;V20&amp;" "&amp;W21&amp;" is not equal to the sum of F01-04+F01-05+F01-08+F01-09"&amp;CHAR(10),""),IF(X24&lt;&gt;SUM(X25,X27,X30,X31)," * F01-03 for Age "&amp;X20&amp;" "&amp;X21&amp;" is not equal to the sum of (F01-04+F01-05+F01-08+F01-09)"&amp;CHAR(10),""),IF(Y24&lt;&gt;SUM(Y25,Y27,Y30,Y31)," * F01-03 for Age "&amp;X20&amp;" "&amp;Y21&amp;" is not equal to the sum of F01-04+F01-05+F01-08+F01-09"&amp;CHAR(10),""),IF(Z24&lt;&gt;SUM(Z25,Z27,Z30,Z31)," * F01-03 for Age "&amp;Z20&amp;" "&amp;Z21&amp;" is not equal to the sum of (F01-04+F01-05+F01-08+F01-09)"&amp;CHAR(10),""),IF(AA24&lt;&gt;SUM(AA25,AA27,AA30,AA31)," * F01-03 for Age "&amp;Z20&amp;" "&amp;AA21&amp;" is not equal to the sum of (F01-04+F01-05+F01-08+F01-09)"&amp;CHAR(10),""))</f>
        <v/>
      </c>
      <c r="AN24" s="1241"/>
      <c r="AO24" s="13">
        <v>23</v>
      </c>
      <c r="AP24" s="80"/>
      <c r="AQ24" s="75"/>
    </row>
    <row r="25" spans="1:43" s="83" customFormat="1" ht="26.25" x14ac:dyDescent="0.4">
      <c r="A25" s="1157"/>
      <c r="B25" s="76" t="s">
        <v>133</v>
      </c>
      <c r="C25" s="559" t="s">
        <v>134</v>
      </c>
      <c r="D25" s="135"/>
      <c r="E25" s="78"/>
      <c r="F25" s="79"/>
      <c r="G25" s="79"/>
      <c r="H25" s="79"/>
      <c r="I25" s="79"/>
      <c r="J25" s="79"/>
      <c r="K25" s="79"/>
      <c r="L25" s="79"/>
      <c r="M25" s="79"/>
      <c r="N25" s="79"/>
      <c r="O25" s="79"/>
      <c r="P25" s="79"/>
      <c r="Q25" s="79"/>
      <c r="R25" s="79"/>
      <c r="S25" s="79"/>
      <c r="T25" s="79"/>
      <c r="U25" s="79"/>
      <c r="V25" s="79"/>
      <c r="W25" s="79"/>
      <c r="X25" s="79"/>
      <c r="Y25" s="79"/>
      <c r="Z25" s="489">
        <f t="shared" si="9"/>
        <v>0</v>
      </c>
      <c r="AA25" s="1005">
        <f t="shared" si="10"/>
        <v>0</v>
      </c>
      <c r="AB25" s="400"/>
      <c r="AC25" s="307"/>
      <c r="AD25" s="79"/>
      <c r="AE25" s="307"/>
      <c r="AF25" s="79"/>
      <c r="AG25" s="307"/>
      <c r="AH25" s="79"/>
      <c r="AI25" s="506"/>
      <c r="AJ25" s="173">
        <f t="shared" si="8"/>
        <v>0</v>
      </c>
      <c r="AK25" s="45"/>
      <c r="AL25" s="1142"/>
      <c r="AM25" s="31"/>
      <c r="AN25" s="1241"/>
      <c r="AO25" s="13">
        <v>24</v>
      </c>
      <c r="AP25" s="81"/>
      <c r="AQ25" s="82"/>
    </row>
    <row r="26" spans="1:43" s="83" customFormat="1" ht="26.25" x14ac:dyDescent="0.4">
      <c r="A26" s="1157"/>
      <c r="B26" s="76" t="s">
        <v>1002</v>
      </c>
      <c r="C26" s="559" t="s">
        <v>1001</v>
      </c>
      <c r="D26" s="135"/>
      <c r="E26" s="78"/>
      <c r="F26" s="79"/>
      <c r="G26" s="79"/>
      <c r="H26" s="79"/>
      <c r="I26" s="79"/>
      <c r="J26" s="79"/>
      <c r="K26" s="79"/>
      <c r="L26" s="78"/>
      <c r="M26" s="78"/>
      <c r="N26" s="78"/>
      <c r="O26" s="78"/>
      <c r="P26" s="78"/>
      <c r="Q26" s="78"/>
      <c r="R26" s="78"/>
      <c r="S26" s="78"/>
      <c r="T26" s="78"/>
      <c r="U26" s="78"/>
      <c r="V26" s="78"/>
      <c r="W26" s="78"/>
      <c r="X26" s="78"/>
      <c r="Y26" s="78"/>
      <c r="Z26" s="78"/>
      <c r="AA26" s="343"/>
      <c r="AB26" s="135"/>
      <c r="AC26" s="343"/>
      <c r="AD26" s="78"/>
      <c r="AE26" s="343"/>
      <c r="AF26" s="78"/>
      <c r="AG26" s="343"/>
      <c r="AH26" s="78"/>
      <c r="AI26" s="370"/>
      <c r="AJ26" s="173">
        <f t="shared" si="8"/>
        <v>0</v>
      </c>
      <c r="AK26" s="296"/>
      <c r="AL26" s="1142"/>
      <c r="AM26" s="31"/>
      <c r="AN26" s="1241"/>
      <c r="AO26" s="13"/>
      <c r="AP26" s="81"/>
      <c r="AQ26" s="82"/>
    </row>
    <row r="27" spans="1:43" s="83" customFormat="1" ht="26.25" x14ac:dyDescent="0.4">
      <c r="A27" s="1157"/>
      <c r="B27" s="76" t="s">
        <v>146</v>
      </c>
      <c r="C27" s="559" t="s">
        <v>135</v>
      </c>
      <c r="D27" s="135"/>
      <c r="E27" s="78"/>
      <c r="F27" s="79"/>
      <c r="G27" s="79"/>
      <c r="H27" s="79"/>
      <c r="I27" s="79"/>
      <c r="J27" s="79"/>
      <c r="K27" s="79"/>
      <c r="L27" s="79"/>
      <c r="M27" s="79"/>
      <c r="N27" s="79"/>
      <c r="O27" s="79"/>
      <c r="P27" s="79"/>
      <c r="Q27" s="79"/>
      <c r="R27" s="79"/>
      <c r="S27" s="79"/>
      <c r="T27" s="79"/>
      <c r="U27" s="79"/>
      <c r="V27" s="79"/>
      <c r="W27" s="79"/>
      <c r="X27" s="79"/>
      <c r="Y27" s="79"/>
      <c r="Z27" s="489">
        <f t="shared" ref="Z27:Z30" si="11">SUM(AB27,AD27,AF27,AH27)</f>
        <v>0</v>
      </c>
      <c r="AA27" s="1005">
        <f t="shared" ref="AA27:AA30" si="12">SUM(AC27,AE27,AG27,AI27)</f>
        <v>0</v>
      </c>
      <c r="AB27" s="400"/>
      <c r="AC27" s="79"/>
      <c r="AD27" s="79"/>
      <c r="AE27" s="79"/>
      <c r="AF27" s="79"/>
      <c r="AG27" s="79"/>
      <c r="AH27" s="79"/>
      <c r="AI27" s="506"/>
      <c r="AJ27" s="173">
        <f t="shared" si="8"/>
        <v>0</v>
      </c>
      <c r="AK27" s="1216" t="str">
        <f>CONCATENATE(IF(D28&gt;D27," * Positive F01-06 for Age "&amp;D20&amp;" "&amp;D21&amp;" is more than Tested  F01-05"&amp;CHAR(10),""),IF(E28&gt;E27," * Positive F01-06 for Age "&amp;D20&amp;" "&amp;E21&amp;" is more than Tested  F01-05"&amp;CHAR(10),""),IF(F28&gt;F27," * Positive F01-06 for Age "&amp;F20&amp;" "&amp;F21&amp;" is more than Tested  F01-05"&amp;CHAR(10),""),IF(G28&gt;G27," * Positive F01-06 for Age "&amp;F20&amp;" "&amp;G21&amp;" is more than Tested  F01-05"&amp;CHAR(10),""),IF(H28&gt;H27," * Positive F01-06 for Age "&amp;H20&amp;" "&amp;H21&amp;" is more than Tested  F01-05"&amp;CHAR(10),""),IF(I28&gt;I27," * Positive F01-06 for Age "&amp;H20&amp;" "&amp;I21&amp;" is more than Tested  F01-05"&amp;CHAR(10),""),IF(J28&gt;J27," * Positive F01-06 for Age "&amp;J20&amp;" "&amp;J21&amp;" is more than Tested  F01-05"&amp;CHAR(10),""),IF(K28&gt;K27," * Positive F01-06 for Age "&amp;J20&amp;" "&amp;K21&amp;" is more than Tested  F01-05"&amp;CHAR(10),""),IF(L28&gt;L27," * Positive F01-06 for Age "&amp;L20&amp;" "&amp;L21&amp;" is more than Tested  F01-05"&amp;CHAR(10),""),IF(M28&gt;M27," * Positive F01-06 for Age "&amp;L20&amp;" "&amp;M21&amp;" is more than Tested  F01-05"&amp;CHAR(10),""),IF(N28&gt;N27," * Positive F01-06 for Age "&amp;N20&amp;" "&amp;N21&amp;" is more than Tested  F01-05"&amp;CHAR(10),""),IF(O28&gt;O27," * Positive F01-06 for Age "&amp;N20&amp;" "&amp;O21&amp;" is more than Tested  F01-05"&amp;CHAR(10),""),IF(P28&gt;P27," * Positive F01-06 for Age "&amp;P20&amp;" "&amp;P21&amp;" is more than Tested  F01-05"&amp;CHAR(10),""),IF(Q28&gt;Q27," * Positive F01-06 for Age "&amp;P20&amp;" "&amp;Q21&amp;" is more than Tested  F01-05"&amp;CHAR(10),""),IF(R28&gt;R27," * Positive F01-06 for Age "&amp;R20&amp;" "&amp;R21&amp;" is more than Tested  F01-05"&amp;CHAR(10),""),IF(S28&gt;S27," * Positive F01-06 for Age "&amp;R20&amp;" "&amp;S21&amp;" is more than Tested  F01-05"&amp;CHAR(10),""),IF(T28&gt;T27," * Positive F01-06 for Age "&amp;T20&amp;" "&amp;T21&amp;" is more than Tested  F01-05"&amp;CHAR(10),""),IF(U28&gt;U27," * Positive F01-06 for Age "&amp;T20&amp;" "&amp;U21&amp;" is more than Tested  F01-05"&amp;CHAR(10),""),IF(V28&gt;V27," * Positive F01-06 for Age "&amp;V20&amp;" "&amp;V21&amp;" is more than Tested  F01-05"&amp;CHAR(10),""),IF(W28&gt;W27," * Positive F01-06 for Age "&amp;V20&amp;" "&amp;W21&amp;" is more than Tested  F01-05"&amp;CHAR(10),""),IF(X28&gt;X27," * Positive F01-06 for Age "&amp;X20&amp;" "&amp;X21&amp;" is more than Tested  F01-05"&amp;CHAR(10),""),IF(Y28&gt;Y27," * Positive F01-06 for Age "&amp;X20&amp;" "&amp;Y21&amp;" is more than Tested  F01-05"&amp;CHAR(10),""),IF(Z28&gt;Z27," * Positive F01-06 for Age "&amp;Z20&amp;" "&amp;Z21&amp;" is more than Tested  F01-05"&amp;CHAR(10),""),IF(AA28&gt;AA27," * Positive F01-06 for Age "&amp;Z20&amp;" "&amp;AA21&amp;" is more than Tested  F01-05"&amp;CHAR(10),""))</f>
        <v/>
      </c>
      <c r="AL27" s="1142"/>
      <c r="AM27" s="31" t="str">
        <f>CONCATENATE(IF(AND(IFERROR((AJ28*100)/AJ27,0)&gt;10,AJ28&gt;5)," * This facility has a high positivity rate for Index Testing. Kindly confirm if this is the true reflection"&amp;CHAR(10),""),"")</f>
        <v/>
      </c>
      <c r="AN27" s="1241"/>
      <c r="AO27" s="13">
        <v>25</v>
      </c>
      <c r="AP27" s="81"/>
      <c r="AQ27" s="82"/>
    </row>
    <row r="28" spans="1:43" s="83" customFormat="1" ht="26.25" x14ac:dyDescent="0.4">
      <c r="A28" s="1157"/>
      <c r="B28" s="84" t="s">
        <v>138</v>
      </c>
      <c r="C28" s="559" t="s">
        <v>137</v>
      </c>
      <c r="D28" s="135"/>
      <c r="E28" s="78"/>
      <c r="F28" s="85"/>
      <c r="G28" s="85"/>
      <c r="H28" s="85"/>
      <c r="I28" s="85"/>
      <c r="J28" s="85"/>
      <c r="K28" s="85"/>
      <c r="L28" s="85"/>
      <c r="M28" s="85"/>
      <c r="N28" s="85"/>
      <c r="O28" s="85"/>
      <c r="P28" s="85"/>
      <c r="Q28" s="85"/>
      <c r="R28" s="85"/>
      <c r="S28" s="85"/>
      <c r="T28" s="85"/>
      <c r="U28" s="85"/>
      <c r="V28" s="85"/>
      <c r="W28" s="85"/>
      <c r="X28" s="85"/>
      <c r="Y28" s="85"/>
      <c r="Z28" s="489">
        <f t="shared" si="11"/>
        <v>0</v>
      </c>
      <c r="AA28" s="1005">
        <f t="shared" si="12"/>
        <v>0</v>
      </c>
      <c r="AB28" s="1006"/>
      <c r="AC28" s="308"/>
      <c r="AD28" s="85"/>
      <c r="AE28" s="308"/>
      <c r="AF28" s="85"/>
      <c r="AG28" s="308"/>
      <c r="AH28" s="85"/>
      <c r="AI28" s="1007"/>
      <c r="AJ28" s="368">
        <f>SUM(D28:AA28)</f>
        <v>0</v>
      </c>
      <c r="AK28" s="1216"/>
      <c r="AL28" s="1142"/>
      <c r="AM28" s="31"/>
      <c r="AN28" s="1241"/>
      <c r="AO28" s="13">
        <v>26</v>
      </c>
      <c r="AP28" s="81"/>
      <c r="AQ28" s="82"/>
    </row>
    <row r="29" spans="1:43" s="83" customFormat="1" ht="26.25" x14ac:dyDescent="0.4">
      <c r="A29" s="1157"/>
      <c r="B29" s="76" t="s">
        <v>139</v>
      </c>
      <c r="C29" s="559" t="s">
        <v>140</v>
      </c>
      <c r="D29" s="135"/>
      <c r="E29" s="78"/>
      <c r="F29" s="79"/>
      <c r="G29" s="79"/>
      <c r="H29" s="79"/>
      <c r="I29" s="79"/>
      <c r="J29" s="79"/>
      <c r="K29" s="79"/>
      <c r="L29" s="79"/>
      <c r="M29" s="79"/>
      <c r="N29" s="79"/>
      <c r="O29" s="79"/>
      <c r="P29" s="79"/>
      <c r="Q29" s="79"/>
      <c r="R29" s="79"/>
      <c r="S29" s="79"/>
      <c r="T29" s="79"/>
      <c r="U29" s="79"/>
      <c r="V29" s="79"/>
      <c r="W29" s="79"/>
      <c r="X29" s="79"/>
      <c r="Y29" s="79"/>
      <c r="Z29" s="489">
        <f t="shared" si="11"/>
        <v>0</v>
      </c>
      <c r="AA29" s="1005">
        <f t="shared" si="12"/>
        <v>0</v>
      </c>
      <c r="AB29" s="400"/>
      <c r="AC29" s="307"/>
      <c r="AD29" s="79"/>
      <c r="AE29" s="307"/>
      <c r="AF29" s="79"/>
      <c r="AG29" s="307"/>
      <c r="AH29" s="79"/>
      <c r="AI29" s="506"/>
      <c r="AJ29" s="173">
        <f t="shared" ref="AJ29:AJ55" si="13">SUM(D29:AA29)</f>
        <v>0</v>
      </c>
      <c r="AK29" s="45"/>
      <c r="AL29" s="1142"/>
      <c r="AM29" s="31"/>
      <c r="AN29" s="1241"/>
      <c r="AO29" s="13">
        <v>27</v>
      </c>
      <c r="AP29" s="81"/>
      <c r="AQ29" s="82"/>
    </row>
    <row r="30" spans="1:43" s="83" customFormat="1" ht="26.25" x14ac:dyDescent="0.4">
      <c r="A30" s="1157"/>
      <c r="B30" s="76" t="s">
        <v>612</v>
      </c>
      <c r="C30" s="559" t="s">
        <v>141</v>
      </c>
      <c r="D30" s="367"/>
      <c r="E30" s="86"/>
      <c r="F30" s="79"/>
      <c r="G30" s="79"/>
      <c r="H30" s="79"/>
      <c r="I30" s="79"/>
      <c r="J30" s="79"/>
      <c r="K30" s="79"/>
      <c r="L30" s="79"/>
      <c r="M30" s="79"/>
      <c r="N30" s="79"/>
      <c r="O30" s="79"/>
      <c r="P30" s="79"/>
      <c r="Q30" s="79"/>
      <c r="R30" s="79"/>
      <c r="S30" s="79"/>
      <c r="T30" s="79"/>
      <c r="U30" s="79"/>
      <c r="V30" s="79"/>
      <c r="W30" s="79"/>
      <c r="X30" s="79"/>
      <c r="Y30" s="79"/>
      <c r="Z30" s="489">
        <f t="shared" si="11"/>
        <v>0</v>
      </c>
      <c r="AA30" s="1005">
        <f t="shared" si="12"/>
        <v>0</v>
      </c>
      <c r="AB30" s="400"/>
      <c r="AC30" s="79"/>
      <c r="AD30" s="79"/>
      <c r="AE30" s="79"/>
      <c r="AF30" s="79"/>
      <c r="AG30" s="79"/>
      <c r="AH30" s="79"/>
      <c r="AI30" s="506"/>
      <c r="AJ30" s="173">
        <f t="shared" si="13"/>
        <v>0</v>
      </c>
      <c r="AK30" s="45"/>
      <c r="AL30" s="1142"/>
      <c r="AM30" s="31"/>
      <c r="AN30" s="1241"/>
      <c r="AO30" s="13">
        <v>28</v>
      </c>
      <c r="AP30" s="81"/>
      <c r="AQ30" s="82"/>
    </row>
    <row r="31" spans="1:43" s="83" customFormat="1" ht="27" thickBot="1" x14ac:dyDescent="0.45">
      <c r="A31" s="1157"/>
      <c r="B31" s="76" t="s">
        <v>1173</v>
      </c>
      <c r="C31" s="559" t="s">
        <v>1174</v>
      </c>
      <c r="D31" s="367"/>
      <c r="E31" s="86"/>
      <c r="F31" s="79"/>
      <c r="G31" s="79"/>
      <c r="H31" s="79"/>
      <c r="I31" s="79"/>
      <c r="J31" s="79"/>
      <c r="K31" s="79"/>
      <c r="L31" s="79"/>
      <c r="M31" s="79"/>
      <c r="N31" s="79"/>
      <c r="O31" s="79"/>
      <c r="P31" s="79"/>
      <c r="Q31" s="79"/>
      <c r="R31" s="79"/>
      <c r="S31" s="79"/>
      <c r="T31" s="79"/>
      <c r="U31" s="79"/>
      <c r="V31" s="79"/>
      <c r="W31" s="79"/>
      <c r="X31" s="79"/>
      <c r="Y31" s="79"/>
      <c r="Z31" s="489">
        <f t="shared" ref="Z31:Z32" si="14">SUM(AB31,AD31,AF31,AH31)</f>
        <v>0</v>
      </c>
      <c r="AA31" s="1005">
        <f t="shared" ref="AA31:AA32" si="15">SUM(AC31,AE31,AG31,AI31)</f>
        <v>0</v>
      </c>
      <c r="AB31" s="400"/>
      <c r="AC31" s="79"/>
      <c r="AD31" s="79"/>
      <c r="AE31" s="79"/>
      <c r="AF31" s="79"/>
      <c r="AG31" s="79"/>
      <c r="AH31" s="79"/>
      <c r="AI31" s="506"/>
      <c r="AJ31" s="192">
        <f t="shared" si="13"/>
        <v>0</v>
      </c>
      <c r="AK31" s="45"/>
      <c r="AL31" s="1142"/>
      <c r="AM31" s="31"/>
      <c r="AN31" s="1241"/>
      <c r="AO31" s="13">
        <v>29</v>
      </c>
      <c r="AP31" s="81"/>
      <c r="AQ31" s="82"/>
    </row>
    <row r="32" spans="1:43" s="83" customFormat="1" ht="27" thickBot="1" x14ac:dyDescent="0.45">
      <c r="A32" s="1158"/>
      <c r="B32" s="87" t="s">
        <v>142</v>
      </c>
      <c r="C32" s="583" t="s">
        <v>143</v>
      </c>
      <c r="D32" s="365"/>
      <c r="E32" s="88"/>
      <c r="F32" s="89"/>
      <c r="G32" s="89"/>
      <c r="H32" s="89"/>
      <c r="I32" s="89"/>
      <c r="J32" s="89"/>
      <c r="K32" s="89"/>
      <c r="L32" s="89"/>
      <c r="M32" s="89"/>
      <c r="N32" s="89"/>
      <c r="O32" s="89"/>
      <c r="P32" s="89"/>
      <c r="Q32" s="89"/>
      <c r="R32" s="89"/>
      <c r="S32" s="89"/>
      <c r="T32" s="89"/>
      <c r="U32" s="89"/>
      <c r="V32" s="89"/>
      <c r="W32" s="89"/>
      <c r="X32" s="89"/>
      <c r="Y32" s="89"/>
      <c r="Z32" s="489">
        <f t="shared" si="14"/>
        <v>0</v>
      </c>
      <c r="AA32" s="1005">
        <f t="shared" si="15"/>
        <v>0</v>
      </c>
      <c r="AB32" s="401"/>
      <c r="AC32" s="89"/>
      <c r="AD32" s="89"/>
      <c r="AE32" s="89"/>
      <c r="AF32" s="89"/>
      <c r="AG32" s="89"/>
      <c r="AH32" s="89"/>
      <c r="AI32" s="1008"/>
      <c r="AJ32" s="192">
        <f t="shared" ref="AJ32" si="16">SUM(D32:AA32)</f>
        <v>0</v>
      </c>
      <c r="AK32" s="582"/>
      <c r="AL32" s="1142"/>
      <c r="AM32" s="31"/>
      <c r="AN32" s="1241"/>
      <c r="AO32" s="13">
        <v>29</v>
      </c>
      <c r="AP32" s="81"/>
      <c r="AQ32" s="82"/>
    </row>
    <row r="33" spans="1:43" s="83" customFormat="1" ht="26.25" x14ac:dyDescent="0.4">
      <c r="A33" s="1136" t="s">
        <v>13</v>
      </c>
      <c r="B33" s="288" t="s">
        <v>146</v>
      </c>
      <c r="C33" s="558" t="s">
        <v>145</v>
      </c>
      <c r="D33" s="286"/>
      <c r="E33" s="93"/>
      <c r="F33" s="94"/>
      <c r="G33" s="94"/>
      <c r="H33" s="94"/>
      <c r="I33" s="94"/>
      <c r="J33" s="94"/>
      <c r="K33" s="94"/>
      <c r="L33" s="94"/>
      <c r="M33" s="94"/>
      <c r="N33" s="94"/>
      <c r="O33" s="94"/>
      <c r="P33" s="94"/>
      <c r="Q33" s="94"/>
      <c r="R33" s="94"/>
      <c r="S33" s="94"/>
      <c r="T33" s="94"/>
      <c r="U33" s="94"/>
      <c r="V33" s="94"/>
      <c r="W33" s="94"/>
      <c r="X33" s="94"/>
      <c r="Y33" s="94"/>
      <c r="Z33" s="489">
        <f t="shared" ref="Z33:Z34" si="17">SUM(AB33,AD33,AF33,AH33)</f>
        <v>0</v>
      </c>
      <c r="AA33" s="1005">
        <f t="shared" ref="AA33:AA34" si="18">SUM(AC33,AE33,AG33,AI33)</f>
        <v>0</v>
      </c>
      <c r="AB33" s="399"/>
      <c r="AC33" s="310"/>
      <c r="AD33" s="94"/>
      <c r="AE33" s="310"/>
      <c r="AF33" s="94"/>
      <c r="AG33" s="310"/>
      <c r="AH33" s="94"/>
      <c r="AI33" s="505"/>
      <c r="AJ33" s="188">
        <f t="shared" si="13"/>
        <v>0</v>
      </c>
      <c r="AK33" s="1216" t="str">
        <f>CONCATENATE(IF(D34&gt;D33," * Positive F01-11 for Age "&amp;D20&amp;" "&amp;D21&amp;" is more than Tested  F01-10"&amp;CHAR(10),""),IF(E34&gt;E33," * Positive F01-11 for Age "&amp;D20&amp;" "&amp;E21&amp;" is more than Tested  F01-10"&amp;CHAR(10),""),IF(F34&gt;F33," * Positive F01-11 for Age "&amp;F20&amp;" "&amp;F21&amp;" is more than Tested  F01-10"&amp;CHAR(10),""),IF(G34&gt;G33," * Positive F01-11 for Age "&amp;F20&amp;" "&amp;G21&amp;" is more than Tested  F01-10"&amp;CHAR(10),""),IF(H34&gt;H33," * Positive F01-11 for Age "&amp;H20&amp;" "&amp;H21&amp;" is more than Tested  F01-10"&amp;CHAR(10),""),IF(I34&gt;I33," * Positive F01-11 for Age "&amp;H20&amp;" "&amp;I21&amp;" is more than Tested  F01-10"&amp;CHAR(10),""),IF(J34&gt;J33," * Positive F01-11 for Age "&amp;J20&amp;" "&amp;J21&amp;" is more than Tested  F01-10"&amp;CHAR(10),""),IF(K34&gt;K33," * Positive F01-11 for Age "&amp;J20&amp;" "&amp;K21&amp;" is more than Tested  F01-10"&amp;CHAR(10),""),IF(L34&gt;L33," * Positive F01-11 for Age "&amp;L20&amp;" "&amp;L21&amp;" is more than Tested  F01-10"&amp;CHAR(10),""),IF(M34&gt;M33," * Positive F01-11 for Age "&amp;L20&amp;" "&amp;M21&amp;" is more than Tested  F01-10"&amp;CHAR(10),""),IF(N34&gt;N33," * Positive F01-11 for Age "&amp;N20&amp;" "&amp;N21&amp;" is more than Tested  F01-10"&amp;CHAR(10),""),IF(O34&gt;O33," * Positive F01-11 for Age "&amp;N20&amp;" "&amp;O21&amp;" is more than Tested  F01-10"&amp;CHAR(10),""),IF(P34&gt;P33," * Positive F01-11 for Age "&amp;P20&amp;" "&amp;P21&amp;" is more than Tested  F01-10"&amp;CHAR(10),""),IF(Q34&gt;Q33," * Positive F01-11 for Age "&amp;P20&amp;" "&amp;Q21&amp;" is more than Tested  F01-10"&amp;CHAR(10),""),IF(R34&gt;R33," * Positive F01-11 for Age "&amp;R20&amp;" "&amp;R21&amp;" is more than Tested  F01-10"&amp;CHAR(10),""),IF(S34&gt;S33," * Positive F01-11 for Age "&amp;R20&amp;" "&amp;S21&amp;" is more than Tested  F01-10"&amp;CHAR(10),""),IF(T34&gt;T33," * Positive F01-11 for Age "&amp;T20&amp;" "&amp;T21&amp;" is more than Tested  F01-10"&amp;CHAR(10),""),IF(U34&gt;U33," * Positive F01-11 for Age "&amp;T20&amp;" "&amp;U21&amp;" is more than Tested  F01-10"&amp;CHAR(10),""),IF(V34&gt;V33," * Positive F01-11 for Age "&amp;V20&amp;" "&amp;V21&amp;" is more than Tested  F01-10"&amp;CHAR(10),""),IF(W34&gt;W33," * Positive F01-11 for Age "&amp;V20&amp;" "&amp;W21&amp;" is more than Tested  F01-10"&amp;CHAR(10),""),IF(X34&gt;X33," * Positive F01-11 for Age "&amp;X20&amp;" "&amp;X21&amp;" is more than Tested  F01-10"&amp;CHAR(10),""),IF(Y34&gt;Y33," * Positive F01-11 for Age "&amp;X20&amp;" "&amp;Y21&amp;" is more than Tested  F01-10"&amp;CHAR(10),""),IF(Z34&gt;Z33," * Positive F01-11 for Age "&amp;Z20&amp;" "&amp;Z21&amp;" is more than Tested  F01-10"&amp;CHAR(10),""),IF(AA34&gt;AA33," * Positive F01-11 for Age "&amp;Z20&amp;" "&amp;AA21&amp;" is more than Tested  F01-10"&amp;CHAR(10),""),IF(AJ34&gt;AJ33," * Total Positive F01-11 is more than Total Tested  F01-10"&amp;CHAR(10),""))</f>
        <v/>
      </c>
      <c r="AL33" s="1142"/>
      <c r="AM33" s="31" t="str">
        <f>CONCATENATE(IF(AND(IFERROR((AJ34*100)/AJ33,0)&gt;10,AJ34&gt;5)," * This facility has a high positivity rate for Index Testing. Kindly confirm if this is the true reflection"&amp;CHAR(10),""),"")</f>
        <v/>
      </c>
      <c r="AN33" s="1241"/>
      <c r="AO33" s="13">
        <v>30</v>
      </c>
      <c r="AP33" s="81"/>
      <c r="AQ33" s="82"/>
    </row>
    <row r="34" spans="1:43" s="83" customFormat="1" ht="27" thickBot="1" x14ac:dyDescent="0.45">
      <c r="A34" s="1110"/>
      <c r="B34" s="289" t="s">
        <v>138</v>
      </c>
      <c r="C34" s="560" t="s">
        <v>147</v>
      </c>
      <c r="D34" s="287"/>
      <c r="E34" s="96"/>
      <c r="F34" s="97"/>
      <c r="G34" s="97"/>
      <c r="H34" s="97"/>
      <c r="I34" s="97"/>
      <c r="J34" s="97"/>
      <c r="K34" s="97"/>
      <c r="L34" s="97"/>
      <c r="M34" s="97"/>
      <c r="N34" s="97"/>
      <c r="O34" s="97"/>
      <c r="P34" s="97"/>
      <c r="Q34" s="97"/>
      <c r="R34" s="97"/>
      <c r="S34" s="97"/>
      <c r="T34" s="97"/>
      <c r="U34" s="97"/>
      <c r="V34" s="97"/>
      <c r="W34" s="97"/>
      <c r="X34" s="97"/>
      <c r="Y34" s="97"/>
      <c r="Z34" s="489">
        <f t="shared" si="17"/>
        <v>0</v>
      </c>
      <c r="AA34" s="1005">
        <f t="shared" si="18"/>
        <v>0</v>
      </c>
      <c r="AB34" s="1009"/>
      <c r="AC34" s="311"/>
      <c r="AD34" s="97"/>
      <c r="AE34" s="311"/>
      <c r="AF34" s="97"/>
      <c r="AG34" s="311"/>
      <c r="AH34" s="97"/>
      <c r="AI34" s="1010"/>
      <c r="AJ34" s="362">
        <f t="shared" si="13"/>
        <v>0</v>
      </c>
      <c r="AK34" s="1216"/>
      <c r="AL34" s="1142"/>
      <c r="AM34" s="31"/>
      <c r="AN34" s="1241"/>
      <c r="AO34" s="13">
        <v>31</v>
      </c>
      <c r="AP34" s="81"/>
      <c r="AQ34" s="82"/>
    </row>
    <row r="35" spans="1:43" s="83" customFormat="1" ht="26.25" x14ac:dyDescent="0.4">
      <c r="A35" s="1136" t="s">
        <v>14</v>
      </c>
      <c r="B35" s="91" t="s">
        <v>146</v>
      </c>
      <c r="C35" s="558" t="s">
        <v>148</v>
      </c>
      <c r="D35" s="70"/>
      <c r="E35" s="71"/>
      <c r="F35" s="72"/>
      <c r="G35" s="72"/>
      <c r="H35" s="72"/>
      <c r="I35" s="72"/>
      <c r="J35" s="72"/>
      <c r="K35" s="72"/>
      <c r="L35" s="72"/>
      <c r="M35" s="72"/>
      <c r="N35" s="72"/>
      <c r="O35" s="72"/>
      <c r="P35" s="72"/>
      <c r="Q35" s="72"/>
      <c r="R35" s="72"/>
      <c r="S35" s="72"/>
      <c r="T35" s="72"/>
      <c r="U35" s="72"/>
      <c r="V35" s="72"/>
      <c r="W35" s="72"/>
      <c r="X35" s="72"/>
      <c r="Y35" s="72"/>
      <c r="Z35" s="489">
        <f t="shared" ref="Z35:Z36" si="19">SUM(AB35,AD35,AF35,AH35)</f>
        <v>0</v>
      </c>
      <c r="AA35" s="1005">
        <f t="shared" ref="AA35" si="20">SUM(AC35,AE35,AG35,AI35)</f>
        <v>0</v>
      </c>
      <c r="AB35" s="531"/>
      <c r="AC35" s="306"/>
      <c r="AD35" s="72"/>
      <c r="AE35" s="306"/>
      <c r="AF35" s="72"/>
      <c r="AG35" s="306"/>
      <c r="AH35" s="72"/>
      <c r="AI35" s="1011"/>
      <c r="AJ35" s="52">
        <f t="shared" si="13"/>
        <v>0</v>
      </c>
      <c r="AK35" s="1216" t="str">
        <f>CONCATENATE(IF(D36&gt;D35," * Positive F01-13 for Age "&amp;D20&amp;" "&amp;D21&amp;" is more than Tested F01-12"&amp;CHAR(10),""),IF(E36&gt;E35," * Positive F01-13 for Age "&amp;D20&amp;" "&amp;E21&amp;" is more than Tested F01-12"&amp;CHAR(10),""),IF(F36&gt;F35," * Positive F01-13 for Age "&amp;F20&amp;" "&amp;F21&amp;" is more than Tested F01-12"&amp;CHAR(10),""),IF(G36&gt;G35," * Positive F01-13 for Age "&amp;F20&amp;" "&amp;G21&amp;" is more than Tested F01-12"&amp;CHAR(10),""),IF(H36&gt;H35," * Positive F01-13 for Age "&amp;H20&amp;" "&amp;H21&amp;" is more than Tested F01-12"&amp;CHAR(10),""),IF(I36&gt;I35," * Positive F01-13 for Age "&amp;H20&amp;" "&amp;I21&amp;" is more than Tested F01-12"&amp;CHAR(10),""),IF(J36&gt;J35," * Positive F01-13 for Age "&amp;J20&amp;" "&amp;J21&amp;" is more than Tested F01-12"&amp;CHAR(10),""),IF(K36&gt;K35," * Positive F01-13 for Age "&amp;J20&amp;" "&amp;K21&amp;" is more than Tested F01-12"&amp;CHAR(10),""),IF(L36&gt;L35," * Positive F01-13 for Age "&amp;L20&amp;" "&amp;L21&amp;" is more than Tested F01-12"&amp;CHAR(10),""),IF(M36&gt;M35," * Positive F01-13 for Age "&amp;L20&amp;" "&amp;M21&amp;" is more than Tested F01-12"&amp;CHAR(10),""),IF(N36&gt;N35," * Positive F01-13 for Age "&amp;N20&amp;" "&amp;N21&amp;" is more than Tested F01-12"&amp;CHAR(10),""),IF(O36&gt;O35," * Positive F01-13 for Age "&amp;N20&amp;" "&amp;O21&amp;" is more than Tested F01-12"&amp;CHAR(10),""),IF(P36&gt;P35," * Positive F01-13 for Age "&amp;P20&amp;" "&amp;P21&amp;" is more than Tested F01-12"&amp;CHAR(10),""),IF(Q36&gt;Q35," * Positive F01-13 for Age "&amp;P20&amp;" "&amp;Q21&amp;" is more than Tested F01-12"&amp;CHAR(10),""),IF(R36&gt;R35," * Positive F01-13 for Age "&amp;R20&amp;" "&amp;R21&amp;" is more than Tested F01-12"&amp;CHAR(10),""),IF(S36&gt;S35," * Positive F01-13 for Age "&amp;R20&amp;" "&amp;S21&amp;" is more than Tested F01-12"&amp;CHAR(10),""),IF(T36&gt;T35," * Positive F01-13 for Age "&amp;T20&amp;" "&amp;T21&amp;" is more than Tested F01-12"&amp;CHAR(10),""),IF(U36&gt;U35," * Positive F01-13 for Age "&amp;T20&amp;" "&amp;U21&amp;" is more than Tested F01-12"&amp;CHAR(10),""),IF(V36&gt;V35," * Positive F01-13 for Age "&amp;V20&amp;" "&amp;V21&amp;" is more than Tested F01-12"&amp;CHAR(10),""),IF(W36&gt;W35," * Positive F01-13 for Age "&amp;V20&amp;" "&amp;W21&amp;" is more than Tested F01-12"&amp;CHAR(10),""),IF(X36&gt;X35," * Positive F01-13 for Age "&amp;X20&amp;" "&amp;X21&amp;" is more than Tested F01-12"&amp;CHAR(10),""),IF(Y36&gt;Y35," * Positive F01-13 for Age "&amp;X20&amp;" "&amp;Y21&amp;" is more than Tested F01-12"&amp;CHAR(10),""),IF(Z36&gt;Z35," * Positive F01-13 for Age "&amp;Z20&amp;" "&amp;Z21&amp;" is more than Tested F01-12"&amp;CHAR(10),""),IF(AA36&gt;AA35," * Positive F01-13 for Age "&amp;Z20&amp;" "&amp;AA21&amp;" is more than Tested F01-12"&amp;CHAR(10),""))</f>
        <v/>
      </c>
      <c r="AL35" s="1142"/>
      <c r="AM35" s="31" t="str">
        <f>CONCATENATE(IF(AND(IFERROR((AJ36*100)/AJ35,0)&gt;10,AJ36&gt;5)," * This facility has a high positivity rate for Index Testing. Kindly confirm if this is the true reflection"&amp;CHAR(10),""),"")</f>
        <v/>
      </c>
      <c r="AN35" s="1241"/>
      <c r="AO35" s="13">
        <v>32</v>
      </c>
      <c r="AP35" s="81"/>
      <c r="AQ35" s="82"/>
    </row>
    <row r="36" spans="1:43" s="83" customFormat="1" ht="27" thickBot="1" x14ac:dyDescent="0.45">
      <c r="A36" s="1110"/>
      <c r="B36" s="95" t="s">
        <v>138</v>
      </c>
      <c r="C36" s="560" t="s">
        <v>149</v>
      </c>
      <c r="D36" s="100"/>
      <c r="E36" s="101"/>
      <c r="F36" s="97"/>
      <c r="G36" s="97"/>
      <c r="H36" s="97"/>
      <c r="I36" s="97"/>
      <c r="J36" s="97"/>
      <c r="K36" s="97"/>
      <c r="L36" s="97"/>
      <c r="M36" s="97"/>
      <c r="N36" s="97"/>
      <c r="O36" s="97"/>
      <c r="P36" s="97"/>
      <c r="Q36" s="97"/>
      <c r="R36" s="97"/>
      <c r="S36" s="97"/>
      <c r="T36" s="97"/>
      <c r="U36" s="97"/>
      <c r="V36" s="97"/>
      <c r="W36" s="97"/>
      <c r="X36" s="97"/>
      <c r="Y36" s="97"/>
      <c r="Z36" s="489">
        <f t="shared" si="19"/>
        <v>0</v>
      </c>
      <c r="AA36" s="1005">
        <f>SUM(AC36,AE36,AG36,AI36)</f>
        <v>0</v>
      </c>
      <c r="AB36" s="1009"/>
      <c r="AC36" s="311"/>
      <c r="AD36" s="97"/>
      <c r="AE36" s="311"/>
      <c r="AF36" s="97"/>
      <c r="AG36" s="311"/>
      <c r="AH36" s="97"/>
      <c r="AI36" s="1010"/>
      <c r="AJ36" s="362">
        <f t="shared" si="13"/>
        <v>0</v>
      </c>
      <c r="AK36" s="1216"/>
      <c r="AL36" s="1142"/>
      <c r="AM36" s="31" t="str">
        <f>CONCATENATE(IF(D35&gt;0," * F01-12 for Age "&amp;D20&amp;" "&amp;D21&amp;" has a value greater than 0"&amp;CHAR(10),""),IF(E35&gt;0," * F01-12 for Age "&amp;D20&amp;" "&amp;E21&amp;" has a value greater than 0"&amp;CHAR(10),""),IF(D36&gt;0," * F01-13 for Age "&amp;D20&amp;" "&amp;D21&amp;" has a value greater than 0"&amp;CHAR(10),""),IF(E36&gt;0," * F01-13 for Age "&amp;D20&amp;" "&amp;E21&amp;" has a value greater than 0"&amp;CHAR(10),""),IF(D37&gt;0," * F01-14 for Age "&amp;D20&amp;" "&amp;D21&amp;" has a value greater than 0"&amp;CHAR(10),""),IF(E37&gt;0," * F01-14 for Age "&amp;D20&amp;" "&amp;E21&amp;" has a value greater than 0"&amp;CHAR(10),""),IF(D38&gt;0," * F01-15 for Age "&amp;D20&amp;" "&amp;D21&amp;" has a value greater than 0"&amp;CHAR(10),""),IF(E38&gt;0," * F01-15 for Age "&amp;D20&amp;" "&amp;E21&amp;" has a value greater than 0"&amp;CHAR(10),""),IF(D43&gt;0," * F01-20 for Age "&amp;D20&amp;" "&amp;D21&amp;" has a value greater than 0"&amp;CHAR(10),""),IF(E43&gt;0," * F01-20 for Age "&amp;D20&amp;" "&amp;E21&amp;" has a value greater than 0"&amp;CHAR(10),""),IF(D44&gt;0," * F01-21 for Age "&amp;D20&amp;" "&amp;D21&amp;" has a value greater than 0"&amp;CHAR(10),""),IF(E44&gt;0," * F01-21 for Age "&amp;D20&amp;" "&amp;E21&amp;" has a value greater than 0"&amp;CHAR(10),""),IF(D45&gt;0," * F01-22 for Age "&amp;D20&amp;" "&amp;D21&amp;" has a value greater than 0"&amp;CHAR(10),""),IF(E45&gt;0," * F01-22 for Age "&amp;D20&amp;" "&amp;E21&amp;" has a value greater than 0"&amp;CHAR(10),""),IF(D46&gt;0," * F01-23 for Age "&amp;D20&amp;" "&amp;D21&amp;" has a value greater than 0"&amp;CHAR(10),""),IF(E46&gt;0," * F01-23 for Age "&amp;D20&amp;" "&amp;E21&amp;" has a value greater than 0"&amp;CHAR(10),""),"")</f>
        <v/>
      </c>
      <c r="AN36" s="1241"/>
      <c r="AO36" s="13">
        <v>33</v>
      </c>
      <c r="AP36" s="81"/>
      <c r="AQ36" s="82"/>
    </row>
    <row r="37" spans="1:43" ht="26.25" x14ac:dyDescent="0.4">
      <c r="A37" s="1136" t="s">
        <v>15</v>
      </c>
      <c r="B37" s="91" t="s">
        <v>146</v>
      </c>
      <c r="C37" s="558" t="s">
        <v>150</v>
      </c>
      <c r="D37" s="98"/>
      <c r="E37" s="99"/>
      <c r="F37" s="94"/>
      <c r="G37" s="94"/>
      <c r="H37" s="99"/>
      <c r="I37" s="99"/>
      <c r="J37" s="99"/>
      <c r="K37" s="99"/>
      <c r="L37" s="99"/>
      <c r="M37" s="99"/>
      <c r="N37" s="99"/>
      <c r="O37" s="99"/>
      <c r="P37" s="99"/>
      <c r="Q37" s="99"/>
      <c r="R37" s="99"/>
      <c r="S37" s="99"/>
      <c r="T37" s="99"/>
      <c r="U37" s="99"/>
      <c r="V37" s="99"/>
      <c r="W37" s="99"/>
      <c r="X37" s="99"/>
      <c r="Y37" s="99"/>
      <c r="Z37" s="99"/>
      <c r="AA37" s="312"/>
      <c r="AB37" s="99"/>
      <c r="AC37" s="312"/>
      <c r="AD37" s="99"/>
      <c r="AE37" s="312"/>
      <c r="AF37" s="99"/>
      <c r="AG37" s="312"/>
      <c r="AH37" s="99"/>
      <c r="AI37" s="312"/>
      <c r="AJ37" s="188">
        <f t="shared" si="13"/>
        <v>0</v>
      </c>
      <c r="AK37" s="1216" t="str">
        <f>CONCATENATE(IF(D38&gt;D37," * Positive F01-15 for Age "&amp;D20&amp;" "&amp;D21&amp;" is more than Tested F01-14"&amp;CHAR(10),""),IF(E38&gt;E37," * Positive F01-15 for Age "&amp;D20&amp;" "&amp;E21&amp;" is more than Tested F01-14"&amp;CHAR(10),""),IF(F38&gt;F37," * Positive F01-15 for Age "&amp;F20&amp;" "&amp;F21&amp;" is more than Tested F01-14"&amp;CHAR(10),""),IF(G38&gt;G37," * Positive F01-15 for Age "&amp;F20&amp;" "&amp;G21&amp;" is more than Tested F01-14"&amp;CHAR(10),""),IF(H38&gt;H37," * Positive F01-15 for Age "&amp;H20&amp;" "&amp;H21&amp;" is more than Tested F01-14"&amp;CHAR(10),""),IF(I38&gt;I37," * Positive F01-15 for Age "&amp;H20&amp;" "&amp;I21&amp;" is more than Tested F01-14"&amp;CHAR(10),""),IF(J38&gt;J37," * Positive F01-15 for Age "&amp;J20&amp;" "&amp;J21&amp;" is more than Tested F01-14"&amp;CHAR(10),""),IF(K38&gt;K37," * Positive F01-15 for Age "&amp;J20&amp;" "&amp;K21&amp;" is more than Tested F01-14"&amp;CHAR(10),""),IF(L38&gt;L37," * Positive F01-15 for Age "&amp;L20&amp;" "&amp;L21&amp;" is more than Tested F01-14"&amp;CHAR(10),""),IF(M38&gt;M37," * Positive F01-15 for Age "&amp;L20&amp;" "&amp;M21&amp;" is more than Tested F01-14"&amp;CHAR(10),""),IF(N38&gt;N37," * Positive F01-15 for Age "&amp;N20&amp;" "&amp;N21&amp;" is more than Tested F01-14"&amp;CHAR(10),""),IF(O38&gt;O37," * Positive F01-15 for Age "&amp;N20&amp;" "&amp;O21&amp;" is more than Tested F01-14"&amp;CHAR(10),""),IF(P38&gt;P37," * Positive F01-15 for Age "&amp;P20&amp;" "&amp;P21&amp;" is more than Tested F01-14"&amp;CHAR(10),""),IF(Q38&gt;Q37," * Positive F01-15 for Age "&amp;P20&amp;" "&amp;Q21&amp;" is more than Tested F01-14"&amp;CHAR(10),""),IF(R38&gt;R37," * Positive F01-15 for Age "&amp;R20&amp;" "&amp;R21&amp;" is more than Tested F01-14"&amp;CHAR(10),""),IF(S38&gt;S37," * Positive F01-15 for Age "&amp;R20&amp;" "&amp;S21&amp;" is more than Tested F01-14"&amp;CHAR(10),""),IF(T38&gt;T37," * Positive F01-15 for Age "&amp;T20&amp;" "&amp;T21&amp;" is more than Tested F01-14"&amp;CHAR(10),""),IF(U38&gt;U37," * Positive F01-15 for Age "&amp;T20&amp;" "&amp;U21&amp;" is more than Tested F01-14"&amp;CHAR(10),""),IF(V38&gt;V37," * Positive F01-15 for Age "&amp;V20&amp;" "&amp;V21&amp;" is more than Tested F01-14"&amp;CHAR(10),""),IF(W38&gt;W37," * Positive F01-15 for Age "&amp;V20&amp;" "&amp;W21&amp;" is more than Tested F01-14"&amp;CHAR(10),""),IF(X38&gt;X37," * Positive F01-15 for Age "&amp;X20&amp;" "&amp;X21&amp;" is more than Tested F01-14"&amp;CHAR(10),""),IF(Y38&gt;Y37," * Positive F01-15 for Age "&amp;X20&amp;" "&amp;Y21&amp;" is more than Tested F01-14"&amp;CHAR(10),""),IF(Z38&gt;Z37," * Positive F01-15 for Age "&amp;Z20&amp;" "&amp;Z21&amp;" is more than Tested F01-14"&amp;CHAR(10),""),IF(AA38&gt;AA37," * Positive F01-15 for Age "&amp;Z20&amp;" "&amp;AA21&amp;" is more than Tested F01-14"&amp;CHAR(10),""))</f>
        <v/>
      </c>
      <c r="AL37" s="1142"/>
      <c r="AM37" s="31" t="str">
        <f>CONCATENATE(IF(AND(IFERROR((AJ38*100)/AJ37,0)&gt;10,AJ38&gt;5)," * This facility has a high positivity rate for Index Testing. Kindly confirm if this is the true reflection"&amp;CHAR(10),""),"")</f>
        <v/>
      </c>
      <c r="AN37" s="1241"/>
      <c r="AO37" s="13">
        <v>34</v>
      </c>
      <c r="AP37" s="74"/>
      <c r="AQ37" s="75"/>
    </row>
    <row r="38" spans="1:43" ht="27" thickBot="1" x14ac:dyDescent="0.45">
      <c r="A38" s="1110"/>
      <c r="B38" s="95" t="s">
        <v>138</v>
      </c>
      <c r="C38" s="560" t="s">
        <v>151</v>
      </c>
      <c r="D38" s="100"/>
      <c r="E38" s="101"/>
      <c r="F38" s="97"/>
      <c r="G38" s="97"/>
      <c r="H38" s="102"/>
      <c r="I38" s="102"/>
      <c r="J38" s="102"/>
      <c r="K38" s="102"/>
      <c r="L38" s="102"/>
      <c r="M38" s="102"/>
      <c r="N38" s="102"/>
      <c r="O38" s="102"/>
      <c r="P38" s="102"/>
      <c r="Q38" s="102"/>
      <c r="R38" s="102"/>
      <c r="S38" s="102"/>
      <c r="T38" s="102"/>
      <c r="U38" s="102"/>
      <c r="V38" s="102"/>
      <c r="W38" s="102"/>
      <c r="X38" s="102"/>
      <c r="Y38" s="102"/>
      <c r="Z38" s="102"/>
      <c r="AA38" s="313"/>
      <c r="AB38" s="102"/>
      <c r="AC38" s="313"/>
      <c r="AD38" s="102"/>
      <c r="AE38" s="313"/>
      <c r="AF38" s="102"/>
      <c r="AG38" s="313"/>
      <c r="AH38" s="102"/>
      <c r="AI38" s="313"/>
      <c r="AJ38" s="362">
        <f t="shared" si="13"/>
        <v>0</v>
      </c>
      <c r="AK38" s="1216"/>
      <c r="AL38" s="1142"/>
      <c r="AM38" s="31"/>
      <c r="AN38" s="1241"/>
      <c r="AO38" s="13">
        <v>35</v>
      </c>
      <c r="AP38" s="74"/>
      <c r="AQ38" s="75"/>
    </row>
    <row r="39" spans="1:43" ht="26.25" x14ac:dyDescent="0.4">
      <c r="A39" s="1136" t="s">
        <v>416</v>
      </c>
      <c r="B39" s="91" t="s">
        <v>146</v>
      </c>
      <c r="C39" s="558" t="s">
        <v>152</v>
      </c>
      <c r="D39" s="98"/>
      <c r="E39" s="99"/>
      <c r="F39" s="94"/>
      <c r="G39" s="94"/>
      <c r="H39" s="99"/>
      <c r="I39" s="99"/>
      <c r="J39" s="99"/>
      <c r="K39" s="99"/>
      <c r="L39" s="99"/>
      <c r="M39" s="99"/>
      <c r="N39" s="99"/>
      <c r="O39" s="99"/>
      <c r="P39" s="99"/>
      <c r="Q39" s="99"/>
      <c r="R39" s="99"/>
      <c r="S39" s="99"/>
      <c r="T39" s="99"/>
      <c r="U39" s="99"/>
      <c r="V39" s="99"/>
      <c r="W39" s="99"/>
      <c r="X39" s="99"/>
      <c r="Y39" s="99"/>
      <c r="Z39" s="99"/>
      <c r="AA39" s="312"/>
      <c r="AB39" s="99"/>
      <c r="AC39" s="312"/>
      <c r="AD39" s="99"/>
      <c r="AE39" s="312"/>
      <c r="AF39" s="99"/>
      <c r="AG39" s="312"/>
      <c r="AH39" s="99"/>
      <c r="AI39" s="312"/>
      <c r="AJ39" s="188">
        <f t="shared" si="13"/>
        <v>0</v>
      </c>
      <c r="AK39" s="1216" t="str">
        <f>CONCATENATE(IF(D40&gt;D39," * Positive F01-17 for Age "&amp;D20&amp;" "&amp;D21&amp;" is more than Tested F01-16"&amp;CHAR(10),""),IF(E40&gt;E39," * Positive F01-17 for Age "&amp;D20&amp;" "&amp;E21&amp;" is more than Tested F01-16"&amp;CHAR(10),""),IF(F40&gt;F39," * Positive F01-17 for Age "&amp;F20&amp;" "&amp;F21&amp;" is more than Tested F01-16"&amp;CHAR(10),""),IF(G40&gt;G39," * Positive F01-17 for Age "&amp;F20&amp;" "&amp;G21&amp;" is more than Tested F01-16"&amp;CHAR(10),""),IF(H40&gt;H39," * Positive F01-17 for Age "&amp;H20&amp;" "&amp;H21&amp;" is more than Tested F01-16"&amp;CHAR(10),""),IF(I40&gt;I39," * Positive F01-17 for Age "&amp;H20&amp;" "&amp;I21&amp;" is more than Tested F01-16"&amp;CHAR(10),""),IF(J40&gt;J39," * Positive F01-17 for Age "&amp;J20&amp;" "&amp;J21&amp;" is more than Tested F01-16"&amp;CHAR(10),""),IF(K40&gt;K39," * Positive F01-17 for Age "&amp;J20&amp;" "&amp;K21&amp;" is more than Tested F01-16"&amp;CHAR(10),""),IF(L40&gt;L39," * Positive F01-17 for Age "&amp;L20&amp;" "&amp;L21&amp;" is more than Tested F01-16"&amp;CHAR(10),""),IF(M40&gt;M39," * Positive F01-17 for Age "&amp;L20&amp;" "&amp;M21&amp;" is more than Tested F01-16"&amp;CHAR(10),""),IF(N40&gt;N39," * Positive F01-17 for Age "&amp;N20&amp;" "&amp;N21&amp;" is more than Tested F01-16"&amp;CHAR(10),""),IF(O40&gt;O39," * Positive F01-17 for Age "&amp;N20&amp;" "&amp;O21&amp;" is more than Tested F01-16"&amp;CHAR(10),""),IF(P40&gt;P39," * Positive F01-17 for Age "&amp;P20&amp;" "&amp;P21&amp;" is more than Tested F01-16"&amp;CHAR(10),""),IF(Q40&gt;Q39," * Positive F01-17 for Age "&amp;P20&amp;" "&amp;Q21&amp;" is more than Tested F01-16"&amp;CHAR(10),""),IF(R40&gt;R39," * Positive F01-17 for Age "&amp;R20&amp;" "&amp;R21&amp;" is more than Tested F01-16"&amp;CHAR(10),""),IF(S40&gt;S39," * Positive F01-17 for Age "&amp;R20&amp;" "&amp;S21&amp;" is more than Tested F01-16"&amp;CHAR(10),""),IF(T40&gt;T39," * Positive F01-17 for Age "&amp;T20&amp;" "&amp;T21&amp;" is more than Tested F01-16"&amp;CHAR(10),""),IF(U40&gt;U39," * Positive F01-17 for Age "&amp;T20&amp;" "&amp;U21&amp;" is more than Tested F01-16"&amp;CHAR(10),""),IF(V40&gt;V39," * Positive F01-17 for Age "&amp;V20&amp;" "&amp;V21&amp;" is more than Tested F01-16"&amp;CHAR(10),""),IF(W40&gt;W39," * Positive F01-17 for Age "&amp;V20&amp;" "&amp;W21&amp;" is more than Tested F01-16"&amp;CHAR(10),""),IF(X40&gt;X39," * Positive F01-17 for Age "&amp;X20&amp;" "&amp;X21&amp;" is more than Tested F01-16"&amp;CHAR(10),""),IF(Y40&gt;Y39," * Positive F01-17 for Age "&amp;X20&amp;" "&amp;Y21&amp;" is more than Tested F01-16"&amp;CHAR(10),""),IF(Z40&gt;Z39," * Positive F01-17 for Age "&amp;Z20&amp;" "&amp;Z21&amp;" is more than Tested F01-16"&amp;CHAR(10),""),IF(AA40&gt;AA39," * Positive F01-17 for Age "&amp;Z20&amp;" "&amp;AA21&amp;" is more than Tested F01-16"&amp;CHAR(10),""))</f>
        <v/>
      </c>
      <c r="AL39" s="1142"/>
      <c r="AM39" s="31" t="str">
        <f>CONCATENATE(IF(AND(IFERROR((AJ40*100)/AJ39,0)&gt;10,AJ40&gt;5)," * This facility has a high positivity rate for Index Testing. Kindly confirm if this is the true reflection"&amp;CHAR(10),""),"")</f>
        <v/>
      </c>
      <c r="AN39" s="1241"/>
      <c r="AO39" s="13">
        <v>36</v>
      </c>
      <c r="AP39" s="74"/>
      <c r="AQ39" s="75"/>
    </row>
    <row r="40" spans="1:43" ht="27" thickBot="1" x14ac:dyDescent="0.45">
      <c r="A40" s="1110"/>
      <c r="B40" s="95" t="s">
        <v>138</v>
      </c>
      <c r="C40" s="560" t="s">
        <v>153</v>
      </c>
      <c r="D40" s="103"/>
      <c r="E40" s="102"/>
      <c r="F40" s="97"/>
      <c r="G40" s="97"/>
      <c r="H40" s="102"/>
      <c r="I40" s="102"/>
      <c r="J40" s="102"/>
      <c r="K40" s="102"/>
      <c r="L40" s="102"/>
      <c r="M40" s="102"/>
      <c r="N40" s="102"/>
      <c r="O40" s="102"/>
      <c r="P40" s="102"/>
      <c r="Q40" s="102"/>
      <c r="R40" s="102"/>
      <c r="S40" s="102"/>
      <c r="T40" s="102"/>
      <c r="U40" s="102"/>
      <c r="V40" s="102"/>
      <c r="W40" s="102"/>
      <c r="X40" s="102"/>
      <c r="Y40" s="102"/>
      <c r="Z40" s="102"/>
      <c r="AA40" s="313"/>
      <c r="AB40" s="102"/>
      <c r="AC40" s="313"/>
      <c r="AD40" s="102"/>
      <c r="AE40" s="313"/>
      <c r="AF40" s="102"/>
      <c r="AG40" s="313"/>
      <c r="AH40" s="102"/>
      <c r="AI40" s="313"/>
      <c r="AJ40" s="362">
        <f t="shared" si="13"/>
        <v>0</v>
      </c>
      <c r="AK40" s="1216"/>
      <c r="AL40" s="1142"/>
      <c r="AM40" s="31"/>
      <c r="AN40" s="1241"/>
      <c r="AO40" s="13">
        <v>37</v>
      </c>
      <c r="AP40" s="74"/>
      <c r="AQ40" s="75"/>
    </row>
    <row r="41" spans="1:43" ht="26.25" x14ac:dyDescent="0.4">
      <c r="A41" s="1136" t="s">
        <v>16</v>
      </c>
      <c r="B41" s="91" t="s">
        <v>146</v>
      </c>
      <c r="C41" s="558" t="s">
        <v>154</v>
      </c>
      <c r="D41" s="286"/>
      <c r="E41" s="93"/>
      <c r="F41" s="94"/>
      <c r="G41" s="94"/>
      <c r="H41" s="94"/>
      <c r="I41" s="94"/>
      <c r="J41" s="94"/>
      <c r="K41" s="94"/>
      <c r="L41" s="94"/>
      <c r="M41" s="94"/>
      <c r="N41" s="94"/>
      <c r="O41" s="94"/>
      <c r="P41" s="94"/>
      <c r="Q41" s="94"/>
      <c r="R41" s="94"/>
      <c r="S41" s="94"/>
      <c r="T41" s="94"/>
      <c r="U41" s="94"/>
      <c r="V41" s="94"/>
      <c r="W41" s="94"/>
      <c r="X41" s="94"/>
      <c r="Y41" s="94"/>
      <c r="Z41" s="489">
        <f t="shared" ref="Z41:Z43" si="21">SUM(AB41,AD41,AF41,AH41)</f>
        <v>0</v>
      </c>
      <c r="AA41" s="489">
        <f t="shared" ref="AA41:AA43" si="22">SUM(AC41,AE41,AG41,AI41)</f>
        <v>0</v>
      </c>
      <c r="AB41" s="94"/>
      <c r="AC41" s="310"/>
      <c r="AD41" s="94"/>
      <c r="AE41" s="310"/>
      <c r="AF41" s="94"/>
      <c r="AG41" s="310"/>
      <c r="AH41" s="94"/>
      <c r="AI41" s="310"/>
      <c r="AJ41" s="188">
        <f t="shared" si="13"/>
        <v>0</v>
      </c>
      <c r="AK41" s="1216" t="str">
        <f>CONCATENATE(IF(D42&gt;D41," * Positive F01-19 for Age "&amp;D20&amp;" "&amp;D21&amp;" is more than Tested F01-18"&amp;CHAR(10),""),IF(E42&gt;E41," * Positive F01-19 for Age "&amp;D20&amp;" "&amp;E21&amp;" is more than Tested F01-18"&amp;CHAR(10),""),IF(F42&gt;F41," * Positive F01-19 for Age "&amp;F20&amp;" "&amp;F21&amp;" is more than Tested F01-18"&amp;CHAR(10),""),IF(G42&gt;G41," * Positive F01-19 for Age "&amp;F20&amp;" "&amp;G21&amp;" is more than Tested F01-18"&amp;CHAR(10),""),IF(H42&gt;H41," * Positive F01-19 for Age "&amp;H20&amp;" "&amp;H21&amp;" is more than Tested F01-18"&amp;CHAR(10),""),IF(I42&gt;I41," * Positive F01-19 for Age "&amp;H20&amp;" "&amp;I21&amp;" is more than Tested F01-18"&amp;CHAR(10),""),IF(J42&gt;J41," * Positive F01-19 for Age "&amp;J20&amp;" "&amp;J21&amp;" is more than Tested F01-18"&amp;CHAR(10),""),IF(K42&gt;K41," * Positive F01-19 for Age "&amp;J20&amp;" "&amp;K21&amp;" is more than Tested F01-18"&amp;CHAR(10),""),IF(L42&gt;L41," * Positive F01-19 for Age "&amp;L20&amp;" "&amp;L21&amp;" is more than Tested F01-18"&amp;CHAR(10),""),IF(M42&gt;M41," * Positive F01-19 for Age "&amp;L20&amp;" "&amp;M21&amp;" is more than Tested F01-18"&amp;CHAR(10),""),IF(N42&gt;N41," * Positive F01-19 for Age "&amp;N20&amp;" "&amp;N21&amp;" is more than Tested F01-18"&amp;CHAR(10),""),IF(O42&gt;O41," * Positive F01-19 for Age "&amp;N20&amp;" "&amp;O21&amp;" is more than Tested F01-18"&amp;CHAR(10),""),IF(P42&gt;P41," * Positive F01-19 for Age "&amp;P20&amp;" "&amp;P21&amp;" is more than Tested F01-18"&amp;CHAR(10),""),IF(Q42&gt;Q41," * Positive F01-19 for Age "&amp;P20&amp;" "&amp;Q21&amp;" is more than Tested F01-18"&amp;CHAR(10),""),IF(R42&gt;R41," * Positive F01-19 for Age "&amp;R20&amp;" "&amp;R21&amp;" is more than Tested F01-18"&amp;CHAR(10),""),IF(S42&gt;S41," * Positive F01-19 for Age "&amp;R20&amp;" "&amp;S21&amp;" is more than Tested F01-18"&amp;CHAR(10),""),IF(T42&gt;T41," * Positive F01-19 for Age "&amp;T20&amp;" "&amp;T21&amp;" is more than Tested F01-18"&amp;CHAR(10),""),IF(U42&gt;U41," * Positive F01-19 for Age "&amp;T20&amp;" "&amp;U21&amp;" is more than Tested F01-18"&amp;CHAR(10),""),IF(V42&gt;V41," * Positive F01-19 for Age "&amp;V20&amp;" "&amp;V21&amp;" is more than Tested F01-18"&amp;CHAR(10),""),IF(W42&gt;W41," * Positive F01-19 for Age "&amp;V20&amp;" "&amp;W21&amp;" is more than Tested F01-18"&amp;CHAR(10),""),IF(X42&gt;X41," * Positive F01-19 for Age "&amp;X20&amp;" "&amp;X21&amp;" is more than Tested F01-18"&amp;CHAR(10),""),IF(Y42&gt;Y41," * Positive F01-19 for Age "&amp;X20&amp;" "&amp;Y21&amp;" is more than Tested F01-18"&amp;CHAR(10),""),IF(Z42&gt;Z41," * Positive F01-19 for Age "&amp;Z20&amp;" "&amp;Z21&amp;" is more than Tested F01-18"&amp;CHAR(10),""),IF(AA42&gt;AA41," * Positive F01-19 for Age "&amp;Z20&amp;" "&amp;AA21&amp;" is more than Tested F01-18"&amp;CHAR(10),""))</f>
        <v/>
      </c>
      <c r="AL41" s="1142"/>
      <c r="AM41" s="31" t="str">
        <f>CONCATENATE(IF(AND(IFERROR((AJ42*100)/AJ41,0)&gt;10,AJ42&gt;5)," * This facility has a high positivity rate for Index Testing. Kindly confirm if this is the true reflection"&amp;CHAR(10),""),"")</f>
        <v/>
      </c>
      <c r="AN41" s="1241"/>
      <c r="AO41" s="13">
        <v>38</v>
      </c>
      <c r="AP41" s="74"/>
      <c r="AQ41" s="75"/>
    </row>
    <row r="42" spans="1:43" ht="27" thickBot="1" x14ac:dyDescent="0.45">
      <c r="A42" s="1110"/>
      <c r="B42" s="95" t="s">
        <v>138</v>
      </c>
      <c r="C42" s="560" t="s">
        <v>155</v>
      </c>
      <c r="D42" s="365"/>
      <c r="E42" s="88"/>
      <c r="F42" s="97"/>
      <c r="G42" s="97"/>
      <c r="H42" s="97"/>
      <c r="I42" s="97"/>
      <c r="J42" s="97"/>
      <c r="K42" s="97"/>
      <c r="L42" s="97"/>
      <c r="M42" s="97"/>
      <c r="N42" s="97"/>
      <c r="O42" s="97"/>
      <c r="P42" s="97"/>
      <c r="Q42" s="97"/>
      <c r="R42" s="97"/>
      <c r="S42" s="97"/>
      <c r="T42" s="97"/>
      <c r="U42" s="97"/>
      <c r="V42" s="97"/>
      <c r="W42" s="97"/>
      <c r="X42" s="97"/>
      <c r="Y42" s="97"/>
      <c r="Z42" s="489">
        <f t="shared" si="21"/>
        <v>0</v>
      </c>
      <c r="AA42" s="489">
        <f t="shared" si="22"/>
        <v>0</v>
      </c>
      <c r="AB42" s="97"/>
      <c r="AC42" s="311"/>
      <c r="AD42" s="97"/>
      <c r="AE42" s="311"/>
      <c r="AF42" s="97"/>
      <c r="AG42" s="311"/>
      <c r="AH42" s="97"/>
      <c r="AI42" s="311"/>
      <c r="AJ42" s="362">
        <f t="shared" si="13"/>
        <v>0</v>
      </c>
      <c r="AK42" s="1216"/>
      <c r="AL42" s="1142"/>
      <c r="AM42" s="31"/>
      <c r="AN42" s="1241"/>
      <c r="AO42" s="13">
        <v>39</v>
      </c>
      <c r="AP42" s="74"/>
      <c r="AQ42" s="75"/>
    </row>
    <row r="43" spans="1:43" ht="42.75" customHeight="1" x14ac:dyDescent="0.4">
      <c r="A43" s="1136" t="s">
        <v>1301</v>
      </c>
      <c r="B43" s="91" t="s">
        <v>146</v>
      </c>
      <c r="C43" s="558" t="s">
        <v>323</v>
      </c>
      <c r="D43" s="286"/>
      <c r="E43" s="93"/>
      <c r="F43" s="104">
        <f>F426</f>
        <v>0</v>
      </c>
      <c r="G43" s="104">
        <f t="shared" ref="G43:Y43" si="23">G426</f>
        <v>0</v>
      </c>
      <c r="H43" s="104">
        <f t="shared" si="23"/>
        <v>0</v>
      </c>
      <c r="I43" s="104">
        <f t="shared" si="23"/>
        <v>0</v>
      </c>
      <c r="J43" s="104">
        <f t="shared" si="23"/>
        <v>0</v>
      </c>
      <c r="K43" s="104">
        <f t="shared" si="23"/>
        <v>0</v>
      </c>
      <c r="L43" s="104">
        <f t="shared" si="23"/>
        <v>0</v>
      </c>
      <c r="M43" s="104">
        <f t="shared" si="23"/>
        <v>0</v>
      </c>
      <c r="N43" s="104">
        <f t="shared" si="23"/>
        <v>0</v>
      </c>
      <c r="O43" s="104">
        <f t="shared" si="23"/>
        <v>0</v>
      </c>
      <c r="P43" s="104">
        <f t="shared" si="23"/>
        <v>0</v>
      </c>
      <c r="Q43" s="104">
        <f t="shared" si="23"/>
        <v>0</v>
      </c>
      <c r="R43" s="104">
        <f t="shared" si="23"/>
        <v>0</v>
      </c>
      <c r="S43" s="104">
        <f t="shared" si="23"/>
        <v>0</v>
      </c>
      <c r="T43" s="104">
        <f t="shared" si="23"/>
        <v>0</v>
      </c>
      <c r="U43" s="104">
        <f t="shared" si="23"/>
        <v>0</v>
      </c>
      <c r="V43" s="104">
        <f t="shared" si="23"/>
        <v>0</v>
      </c>
      <c r="W43" s="104">
        <f t="shared" si="23"/>
        <v>0</v>
      </c>
      <c r="X43" s="104">
        <f t="shared" si="23"/>
        <v>0</v>
      </c>
      <c r="Y43" s="104">
        <f t="shared" si="23"/>
        <v>0</v>
      </c>
      <c r="Z43" s="489">
        <f t="shared" si="21"/>
        <v>0</v>
      </c>
      <c r="AA43" s="489">
        <f t="shared" si="22"/>
        <v>0</v>
      </c>
      <c r="AB43" s="104">
        <f t="shared" ref="AB43:AI43" si="24">AB426</f>
        <v>0</v>
      </c>
      <c r="AC43" s="314">
        <f t="shared" si="24"/>
        <v>0</v>
      </c>
      <c r="AD43" s="104">
        <f t="shared" si="24"/>
        <v>0</v>
      </c>
      <c r="AE43" s="314">
        <f t="shared" si="24"/>
        <v>0</v>
      </c>
      <c r="AF43" s="104">
        <f t="shared" si="24"/>
        <v>0</v>
      </c>
      <c r="AG43" s="314">
        <f t="shared" si="24"/>
        <v>0</v>
      </c>
      <c r="AH43" s="104">
        <f t="shared" si="24"/>
        <v>0</v>
      </c>
      <c r="AI43" s="314">
        <f t="shared" si="24"/>
        <v>0</v>
      </c>
      <c r="AJ43" s="188">
        <f t="shared" si="13"/>
        <v>0</v>
      </c>
      <c r="AK43" s="1216" t="str">
        <f>CONCATENATE(IF(D44&gt;D43," * Positive F01-21 for Age "&amp;D20&amp;" "&amp;D21&amp;" is more than Tested F01-20"&amp;CHAR(10),""),IF(E44&gt;E43," * Positive F01-21 for Age "&amp;D20&amp;" "&amp;E21&amp;" is more than Tested F01-20"&amp;CHAR(10),""),IF(F44&gt;F43," * Positive F01-21 for Age "&amp;F20&amp;" "&amp;F21&amp;" is more than Tested F01-20"&amp;CHAR(10),""),IF(G44&gt;G43," * Positive F01-21 for Age "&amp;F20&amp;" "&amp;G21&amp;" is more than Tested F01-20"&amp;CHAR(10),""),IF(H44&gt;H43," * Positive F01-21 for Age "&amp;H20&amp;" "&amp;H21&amp;" is more than Tested F01-20"&amp;CHAR(10),""),IF(I44&gt;I43," * Positive F01-21 for Age "&amp;H20&amp;" "&amp;I21&amp;" is more than Tested F01-20"&amp;CHAR(10),""),IF(J44&gt;J43," * Positive F01-21 for Age "&amp;J20&amp;" "&amp;J21&amp;" is more than Tested F01-20"&amp;CHAR(10),""),IF(K44&gt;K43," * Positive F01-21 for Age "&amp;J20&amp;" "&amp;K21&amp;" is more than Tested F01-20"&amp;CHAR(10),""),IF(L44&gt;L43," * Positive F01-21 for Age "&amp;L20&amp;" "&amp;L21&amp;" is more than Tested F01-20"&amp;CHAR(10),""),IF(M44&gt;M43," * Positive F01-21 for Age "&amp;L20&amp;" "&amp;M21&amp;" is more than Tested F01-20"&amp;CHAR(10),""),IF(N44&gt;N43," * Positive F01-21 for Age "&amp;N20&amp;" "&amp;N21&amp;" is more than Tested F01-20"&amp;CHAR(10),""),IF(O44&gt;O43," * Positive F01-21 for Age "&amp;N20&amp;" "&amp;O21&amp;" is more than Tested F01-20"&amp;CHAR(10),""),IF(P44&gt;P43," * Positive F01-21 for Age "&amp;P20&amp;" "&amp;P21&amp;" is more than Tested F01-20"&amp;CHAR(10),""),IF(Q44&gt;Q43," * Positive F01-21 for Age "&amp;P20&amp;" "&amp;Q21&amp;" is more than Tested F01-20"&amp;CHAR(10),""),IF(R44&gt;R43," * Positive F01-21 for Age "&amp;R20&amp;" "&amp;R21&amp;" is more than Tested F01-20"&amp;CHAR(10),""),IF(S44&gt;S43," * Positive F01-21 for Age "&amp;R20&amp;" "&amp;S21&amp;" is more than Tested F01-20"&amp;CHAR(10),""),IF(T44&gt;T43," * Positive F01-21 for Age "&amp;T20&amp;" "&amp;T21&amp;" is more than Tested F01-20"&amp;CHAR(10),""),IF(U44&gt;U43," * Positive F01-21 for Age "&amp;T20&amp;" "&amp;U21&amp;" is more than Tested F01-20"&amp;CHAR(10),""),IF(V44&gt;V43," * Positive F01-21 for Age "&amp;V20&amp;" "&amp;V21&amp;" is more than Tested F01-20"&amp;CHAR(10),""),IF(W44&gt;W43," * Positive F01-21 for Age "&amp;V20&amp;" "&amp;W21&amp;" is more than Tested F01-20"&amp;CHAR(10),""),IF(X44&gt;X43," * Positive F01-21 for Age "&amp;X20&amp;" "&amp;X21&amp;" is more than Tested F01-20"&amp;CHAR(10),""),IF(Y44&gt;Y43," * Positive F01-21 for Age "&amp;X20&amp;" "&amp;Y21&amp;" is more than Tested F01-20"&amp;CHAR(10),""),IF(Z44&gt;Z43," * Positive F01-21 for Age "&amp;Z20&amp;" "&amp;Z21&amp;" is more than Tested F01-20"&amp;CHAR(10),""),IF(AA44&gt;AA43," * Positive F01-21 for Age "&amp;Z20&amp;" "&amp;AA21&amp;" is more than Tested F01-20"&amp;CHAR(10),""))</f>
        <v/>
      </c>
      <c r="AL43" s="1142"/>
      <c r="AM43" s="31" t="str">
        <f>CONCATENATE(IF(AND(IFERROR((AJ44*100)/AJ43,0)&gt;10,AJ44&gt;5)," * This facility has a high positivity rate for Index Testing. Kindly confirm if this is the true reflection"&amp;CHAR(10),""),"")</f>
        <v/>
      </c>
      <c r="AN43" s="1241"/>
      <c r="AO43" s="13">
        <v>40</v>
      </c>
      <c r="AP43" s="74"/>
      <c r="AQ43" s="75"/>
    </row>
    <row r="44" spans="1:43" ht="41.25" customHeight="1" thickBot="1" x14ac:dyDescent="0.45">
      <c r="A44" s="1110"/>
      <c r="B44" s="95" t="s">
        <v>138</v>
      </c>
      <c r="C44" s="560" t="s">
        <v>156</v>
      </c>
      <c r="D44" s="365"/>
      <c r="E44" s="88"/>
      <c r="F44" s="105">
        <f>F428</f>
        <v>0</v>
      </c>
      <c r="G44" s="105">
        <f t="shared" ref="G44:Y44" si="25">G428</f>
        <v>0</v>
      </c>
      <c r="H44" s="105">
        <f t="shared" si="25"/>
        <v>0</v>
      </c>
      <c r="I44" s="105">
        <f t="shared" si="25"/>
        <v>0</v>
      </c>
      <c r="J44" s="105">
        <f t="shared" si="25"/>
        <v>0</v>
      </c>
      <c r="K44" s="105">
        <f t="shared" si="25"/>
        <v>0</v>
      </c>
      <c r="L44" s="105">
        <f t="shared" si="25"/>
        <v>0</v>
      </c>
      <c r="M44" s="105">
        <f t="shared" si="25"/>
        <v>0</v>
      </c>
      <c r="N44" s="105">
        <f t="shared" si="25"/>
        <v>0</v>
      </c>
      <c r="O44" s="105">
        <f t="shared" si="25"/>
        <v>0</v>
      </c>
      <c r="P44" s="105">
        <f t="shared" si="25"/>
        <v>0</v>
      </c>
      <c r="Q44" s="105">
        <f t="shared" si="25"/>
        <v>0</v>
      </c>
      <c r="R44" s="105">
        <f t="shared" si="25"/>
        <v>0</v>
      </c>
      <c r="S44" s="105">
        <f t="shared" si="25"/>
        <v>0</v>
      </c>
      <c r="T44" s="105">
        <f t="shared" si="25"/>
        <v>0</v>
      </c>
      <c r="U44" s="105">
        <f t="shared" si="25"/>
        <v>0</v>
      </c>
      <c r="V44" s="105">
        <f t="shared" si="25"/>
        <v>0</v>
      </c>
      <c r="W44" s="105">
        <f t="shared" si="25"/>
        <v>0</v>
      </c>
      <c r="X44" s="105">
        <f t="shared" si="25"/>
        <v>0</v>
      </c>
      <c r="Y44" s="105">
        <f t="shared" si="25"/>
        <v>0</v>
      </c>
      <c r="Z44" s="489">
        <f t="shared" ref="Z44:Z48" si="26">SUM(AB44,AD44,AF44,AH44)</f>
        <v>0</v>
      </c>
      <c r="AA44" s="489">
        <f t="shared" ref="AA44:AA48" si="27">SUM(AC44,AE44,AG44,AI44)</f>
        <v>0</v>
      </c>
      <c r="AB44" s="105">
        <f t="shared" ref="AB44:AI44" si="28">AB428</f>
        <v>0</v>
      </c>
      <c r="AC44" s="315">
        <f t="shared" si="28"/>
        <v>0</v>
      </c>
      <c r="AD44" s="105">
        <f t="shared" si="28"/>
        <v>0</v>
      </c>
      <c r="AE44" s="315">
        <f t="shared" si="28"/>
        <v>0</v>
      </c>
      <c r="AF44" s="105">
        <f t="shared" si="28"/>
        <v>0</v>
      </c>
      <c r="AG44" s="315">
        <f t="shared" si="28"/>
        <v>0</v>
      </c>
      <c r="AH44" s="105">
        <f t="shared" si="28"/>
        <v>0</v>
      </c>
      <c r="AI44" s="315">
        <f t="shared" si="28"/>
        <v>0</v>
      </c>
      <c r="AJ44" s="362">
        <f t="shared" si="13"/>
        <v>0</v>
      </c>
      <c r="AK44" s="1216"/>
      <c r="AL44" s="1142"/>
      <c r="AM44" s="31"/>
      <c r="AN44" s="1241"/>
      <c r="AO44" s="13">
        <v>41</v>
      </c>
      <c r="AP44" s="74"/>
      <c r="AQ44" s="75"/>
    </row>
    <row r="45" spans="1:43" ht="26.25" x14ac:dyDescent="0.4">
      <c r="A45" s="1136" t="s">
        <v>22</v>
      </c>
      <c r="B45" s="91" t="s">
        <v>146</v>
      </c>
      <c r="C45" s="558" t="s">
        <v>157</v>
      </c>
      <c r="D45" s="134"/>
      <c r="E45" s="99"/>
      <c r="F45" s="94"/>
      <c r="G45" s="94"/>
      <c r="H45" s="94"/>
      <c r="I45" s="94"/>
      <c r="J45" s="94"/>
      <c r="K45" s="94"/>
      <c r="L45" s="94"/>
      <c r="M45" s="94"/>
      <c r="N45" s="94"/>
      <c r="O45" s="94"/>
      <c r="P45" s="94"/>
      <c r="Q45" s="94"/>
      <c r="R45" s="94"/>
      <c r="S45" s="94"/>
      <c r="T45" s="94"/>
      <c r="U45" s="94"/>
      <c r="V45" s="94"/>
      <c r="W45" s="94"/>
      <c r="X45" s="94"/>
      <c r="Y45" s="94"/>
      <c r="Z45" s="489">
        <f t="shared" si="26"/>
        <v>0</v>
      </c>
      <c r="AA45" s="489">
        <f t="shared" si="27"/>
        <v>0</v>
      </c>
      <c r="AB45" s="94"/>
      <c r="AC45" s="310"/>
      <c r="AD45" s="94"/>
      <c r="AE45" s="310"/>
      <c r="AF45" s="94"/>
      <c r="AG45" s="310"/>
      <c r="AH45" s="94"/>
      <c r="AI45" s="310"/>
      <c r="AJ45" s="188">
        <f t="shared" si="13"/>
        <v>0</v>
      </c>
      <c r="AK45" s="1216" t="str">
        <f>CONCATENATE(IF(D46&gt;D45," * Positive F01-23 for Age "&amp;D20&amp;" "&amp;D21&amp;" is more than Tested F01-22"&amp;CHAR(10),""),IF(E46&gt;E45," * Positive F01-23 for Age "&amp;D20&amp;" "&amp;E21&amp;" is more than Tested F01-22"&amp;CHAR(10),""),IF(F46&gt;F45," * Positive F01-23 for Age "&amp;F20&amp;" "&amp;F21&amp;" is more than Tested F01-22"&amp;CHAR(10),""),IF(G46&gt;G45," * Positive F01-23 for Age "&amp;F20&amp;" "&amp;G21&amp;" is more than Tested F01-22"&amp;CHAR(10),""),IF(H46&gt;H45," * Positive F01-23 for Age "&amp;H20&amp;" "&amp;H21&amp;" is more than Tested F01-22"&amp;CHAR(10),""),IF(I46&gt;I45," * Positive F01-23 for Age "&amp;H20&amp;" "&amp;I21&amp;" is more than Tested F01-22"&amp;CHAR(10),""),IF(J46&gt;J45," * Positive F01-23 for Age "&amp;J20&amp;" "&amp;J21&amp;" is more than Tested F01-22"&amp;CHAR(10),""),IF(K46&gt;K45," * Positive F01-23 for Age "&amp;J20&amp;" "&amp;K21&amp;" is more than Tested F01-22"&amp;CHAR(10),""),IF(L46&gt;L45," * Positive F01-23 for Age "&amp;L20&amp;" "&amp;L21&amp;" is more than Tested F01-22"&amp;CHAR(10),""),IF(M46&gt;M45," * Positive F01-23 for Age "&amp;L20&amp;" "&amp;M21&amp;" is more than Tested F01-22"&amp;CHAR(10),""),IF(N46&gt;N45," * Positive F01-23 for Age "&amp;N20&amp;" "&amp;N21&amp;" is more than Tested F01-22"&amp;CHAR(10),""),IF(O46&gt;O45," * Positive F01-23 for Age "&amp;N20&amp;" "&amp;O21&amp;" is more than Tested F01-22"&amp;CHAR(10),""),IF(P46&gt;P45," * Positive F01-23 for Age "&amp;P20&amp;" "&amp;P21&amp;" is more than Tested F01-22"&amp;CHAR(10),""),IF(Q46&gt;Q45," * Positive F01-23 for Age "&amp;P20&amp;" "&amp;Q21&amp;" is more than Tested F01-22"&amp;CHAR(10),""),IF(R46&gt;R45," * Positive F01-23 for Age "&amp;R20&amp;" "&amp;R21&amp;" is more than Tested F01-22"&amp;CHAR(10),""),IF(S46&gt;S45," * Positive F01-23 for Age "&amp;R20&amp;" "&amp;S21&amp;" is more than Tested F01-22"&amp;CHAR(10),""),IF(T46&gt;T45," * Positive F01-23 for Age "&amp;T20&amp;" "&amp;T21&amp;" is more than Tested F01-22"&amp;CHAR(10),""),IF(U46&gt;U45," * Positive F01-23 for Age "&amp;T20&amp;" "&amp;U21&amp;" is more than Tested F01-22"&amp;CHAR(10),""),IF(V46&gt;V45," * Positive F01-23 for Age "&amp;V20&amp;" "&amp;V21&amp;" is more than Tested F01-22"&amp;CHAR(10),""),IF(W46&gt;W45," * Positive F01-23 for Age "&amp;V20&amp;" "&amp;W21&amp;" is more than Tested F01-22"&amp;CHAR(10),""),IF(X46&gt;X45," * Positive F01-23 for Age "&amp;X20&amp;" "&amp;X21&amp;" is more than Tested F01-22"&amp;CHAR(10),""),IF(Y46&gt;Y45," * Positive F01-23 for Age "&amp;X20&amp;" "&amp;Y21&amp;" is more than Tested F01-22"&amp;CHAR(10),""),IF(Z46&gt;Z45," * Positive F01-23 for Age "&amp;Z20&amp;" "&amp;Z21&amp;" is more than Tested F01-22"&amp;CHAR(10),""),IF(AA46&gt;AA45," * Positive F01-23 for Age "&amp;Z20&amp;" "&amp;AA21&amp;" is more than Tested F01-22"&amp;CHAR(10),""))</f>
        <v/>
      </c>
      <c r="AL45" s="1142"/>
      <c r="AM45" s="31" t="str">
        <f>CONCATENATE(IF(AND(IFERROR((AJ46*100)/AJ45,0)&gt;10,AJ46&gt;5)," * This facility has a high positivity rate for Index Testing. Kindly confirm if this is the true reflection"&amp;CHAR(10),""),"")</f>
        <v/>
      </c>
      <c r="AN45" s="1241"/>
      <c r="AO45" s="13">
        <v>42</v>
      </c>
      <c r="AP45" s="74"/>
      <c r="AQ45" s="75"/>
    </row>
    <row r="46" spans="1:43" ht="27" thickBot="1" x14ac:dyDescent="0.45">
      <c r="A46" s="1110"/>
      <c r="B46" s="95" t="s">
        <v>138</v>
      </c>
      <c r="C46" s="560" t="s">
        <v>158</v>
      </c>
      <c r="D46" s="119"/>
      <c r="E46" s="102"/>
      <c r="F46" s="97"/>
      <c r="G46" s="97"/>
      <c r="H46" s="97"/>
      <c r="I46" s="97"/>
      <c r="J46" s="97"/>
      <c r="K46" s="97"/>
      <c r="L46" s="97"/>
      <c r="M46" s="97"/>
      <c r="N46" s="97"/>
      <c r="O46" s="97"/>
      <c r="P46" s="97"/>
      <c r="Q46" s="97"/>
      <c r="R46" s="97"/>
      <c r="S46" s="97"/>
      <c r="T46" s="97"/>
      <c r="U46" s="97"/>
      <c r="V46" s="97"/>
      <c r="W46" s="97"/>
      <c r="X46" s="97"/>
      <c r="Y46" s="97"/>
      <c r="Z46" s="489">
        <f t="shared" si="26"/>
        <v>0</v>
      </c>
      <c r="AA46" s="489">
        <f t="shared" si="27"/>
        <v>0</v>
      </c>
      <c r="AB46" s="97"/>
      <c r="AC46" s="311"/>
      <c r="AD46" s="97"/>
      <c r="AE46" s="311"/>
      <c r="AF46" s="97"/>
      <c r="AG46" s="311"/>
      <c r="AH46" s="97"/>
      <c r="AI46" s="311"/>
      <c r="AJ46" s="362">
        <f t="shared" si="13"/>
        <v>0</v>
      </c>
      <c r="AK46" s="1216"/>
      <c r="AL46" s="1142"/>
      <c r="AM46" s="31"/>
      <c r="AN46" s="1241"/>
      <c r="AO46" s="13">
        <v>43</v>
      </c>
      <c r="AP46" s="74"/>
      <c r="AQ46" s="75"/>
    </row>
    <row r="47" spans="1:43" ht="29.25" customHeight="1" x14ac:dyDescent="0.4">
      <c r="A47" s="1136" t="s">
        <v>18</v>
      </c>
      <c r="B47" s="91" t="s">
        <v>146</v>
      </c>
      <c r="C47" s="558" t="s">
        <v>159</v>
      </c>
      <c r="D47" s="286"/>
      <c r="E47" s="93"/>
      <c r="F47" s="99"/>
      <c r="G47" s="99"/>
      <c r="H47" s="99"/>
      <c r="I47" s="99"/>
      <c r="J47" s="99"/>
      <c r="K47" s="99"/>
      <c r="L47" s="94"/>
      <c r="M47" s="94"/>
      <c r="N47" s="94"/>
      <c r="O47" s="94"/>
      <c r="P47" s="94"/>
      <c r="Q47" s="94"/>
      <c r="R47" s="94"/>
      <c r="S47" s="94"/>
      <c r="T47" s="94"/>
      <c r="U47" s="94"/>
      <c r="V47" s="94"/>
      <c r="W47" s="94"/>
      <c r="X47" s="94"/>
      <c r="Y47" s="94"/>
      <c r="Z47" s="489">
        <f t="shared" si="26"/>
        <v>0</v>
      </c>
      <c r="AA47" s="489">
        <f t="shared" si="27"/>
        <v>0</v>
      </c>
      <c r="AB47" s="94"/>
      <c r="AC47" s="310"/>
      <c r="AD47" s="94"/>
      <c r="AE47" s="310"/>
      <c r="AF47" s="94"/>
      <c r="AG47" s="310"/>
      <c r="AH47" s="94"/>
      <c r="AI47" s="310"/>
      <c r="AJ47" s="188">
        <f t="shared" si="13"/>
        <v>0</v>
      </c>
      <c r="AK47" s="1216" t="str">
        <f>CONCATENATE(IF(D48&gt;D47," * Positive F01-25 for Age "&amp;D20&amp;" "&amp;D21&amp;" is more than Tested F01-24"&amp;CHAR(10),""),IF(E48&gt;E47," * Positive F01-25 for Age "&amp;D20&amp;" "&amp;E21&amp;" is more than Tested F01-24"&amp;CHAR(10),""),IF(F48&gt;F47," * Positive F01-25 for Age "&amp;F20&amp;" "&amp;F21&amp;" is more than Tested F01-24"&amp;CHAR(10),""),IF(G48&gt;G47," * Positive F01-25 for Age "&amp;F20&amp;" "&amp;G21&amp;" is more than Tested F01-24"&amp;CHAR(10),""),IF(H48&gt;H47," * Positive F01-25 for Age "&amp;H20&amp;" "&amp;H21&amp;" is more than Tested F01-24"&amp;CHAR(10),""),IF(I48&gt;I47," * Positive F01-25 for Age "&amp;H20&amp;" "&amp;I21&amp;" is more than Tested F01-24"&amp;CHAR(10),""),IF(J48&gt;J47," * Positive F01-25 for Age "&amp;J20&amp;" "&amp;J21&amp;" is more than Tested F01-24"&amp;CHAR(10),""),IF(K48&gt;K47," * Positive F01-25 for Age "&amp;J20&amp;" "&amp;K21&amp;" is more than Tested F01-24"&amp;CHAR(10),""),IF(L48&gt;L47," * Positive F01-25 for Age "&amp;L20&amp;" "&amp;L21&amp;" is more than Tested F01-24"&amp;CHAR(10),""),IF(M48&gt;M47," * Positive F01-25 for Age "&amp;L20&amp;" "&amp;M21&amp;" is more than Tested F01-24"&amp;CHAR(10),""),IF(N48&gt;N47," * Positive F01-25 for Age "&amp;N20&amp;" "&amp;N21&amp;" is more than Tested F01-24"&amp;CHAR(10),""),IF(O48&gt;O47," * Positive F01-25 for Age "&amp;N20&amp;" "&amp;O21&amp;" is more than Tested F01-24"&amp;CHAR(10),""),IF(P48&gt;P47," * Positive F01-25 for Age "&amp;P20&amp;" "&amp;P21&amp;" is more than Tested F01-24"&amp;CHAR(10),""),IF(Q48&gt;Q47," * Positive F01-25 for Age "&amp;P20&amp;" "&amp;Q21&amp;" is more than Tested F01-24"&amp;CHAR(10),""),IF(R48&gt;R47," * Positive F01-25 for Age "&amp;R20&amp;" "&amp;R21&amp;" is more than Tested F01-24"&amp;CHAR(10),""),IF(S48&gt;S47," * Positive F01-25 for Age "&amp;R20&amp;" "&amp;S21&amp;" is more than Tested F01-24"&amp;CHAR(10),""),IF(T48&gt;T47," * Positive F01-25 for Age "&amp;T20&amp;" "&amp;T21&amp;" is more than Tested F01-24"&amp;CHAR(10),""),IF(U48&gt;U47," * Positive F01-25 for Age "&amp;T20&amp;" "&amp;U21&amp;" is more than Tested F01-24"&amp;CHAR(10),""),IF(V48&gt;V47," * Positive F01-25 for Age "&amp;V20&amp;" "&amp;V21&amp;" is more than Tested F01-24"&amp;CHAR(10),""),IF(W48&gt;W47," * Positive F01-25 for Age "&amp;V20&amp;" "&amp;W21&amp;" is more than Tested F01-24"&amp;CHAR(10),""),IF(X48&gt;X47," * Positive F01-25 for Age "&amp;X20&amp;" "&amp;X21&amp;" is more than Tested F01-24"&amp;CHAR(10),""),IF(Y48&gt;Y47," * Positive F01-25 for Age "&amp;X20&amp;" "&amp;Y21&amp;" is more than Tested F01-24"&amp;CHAR(10),""),IF(Z48&gt;Z47," * Positive F01-25 for Age "&amp;Z20&amp;" "&amp;Z21&amp;" is more than Tested F01-24"&amp;CHAR(10),""),IF(AA48&gt;AA47," * Positive F01-25 for Age "&amp;Z20&amp;" "&amp;AA21&amp;" is more than Tested F01-24"&amp;CHAR(10),""))</f>
        <v/>
      </c>
      <c r="AL47" s="1142"/>
      <c r="AM47" s="31" t="str">
        <f>CONCATENATE(IF(AND(IFERROR((AJ48*100)/AJ47,0)&gt;10,AJ48&gt;5)," * This facility has a high positivity rate for Index Testing. Kindly confirm if this is the true reflection"&amp;CHAR(10),""),"")</f>
        <v/>
      </c>
      <c r="AN47" s="1241"/>
      <c r="AO47" s="13">
        <v>44</v>
      </c>
      <c r="AP47" s="74"/>
      <c r="AQ47" s="75"/>
    </row>
    <row r="48" spans="1:43" ht="27" thickBot="1" x14ac:dyDescent="0.45">
      <c r="A48" s="1110"/>
      <c r="B48" s="95" t="s">
        <v>138</v>
      </c>
      <c r="C48" s="560" t="s">
        <v>160</v>
      </c>
      <c r="D48" s="365"/>
      <c r="E48" s="88"/>
      <c r="F48" s="102"/>
      <c r="G48" s="102"/>
      <c r="H48" s="102"/>
      <c r="I48" s="102"/>
      <c r="J48" s="102"/>
      <c r="K48" s="102"/>
      <c r="L48" s="106"/>
      <c r="M48" s="106"/>
      <c r="N48" s="106"/>
      <c r="O48" s="106"/>
      <c r="P48" s="106"/>
      <c r="Q48" s="106"/>
      <c r="R48" s="106"/>
      <c r="S48" s="106"/>
      <c r="T48" s="106"/>
      <c r="U48" s="106"/>
      <c r="V48" s="106"/>
      <c r="W48" s="106"/>
      <c r="X48" s="106"/>
      <c r="Y48" s="106"/>
      <c r="Z48" s="489">
        <f t="shared" si="26"/>
        <v>0</v>
      </c>
      <c r="AA48" s="489">
        <f t="shared" si="27"/>
        <v>0</v>
      </c>
      <c r="AB48" s="106"/>
      <c r="AC48" s="316"/>
      <c r="AD48" s="106"/>
      <c r="AE48" s="316"/>
      <c r="AF48" s="106"/>
      <c r="AG48" s="316"/>
      <c r="AH48" s="106"/>
      <c r="AI48" s="316"/>
      <c r="AJ48" s="362">
        <f t="shared" si="13"/>
        <v>0</v>
      </c>
      <c r="AK48" s="1216"/>
      <c r="AL48" s="1142"/>
      <c r="AM48" s="31"/>
      <c r="AN48" s="1241"/>
      <c r="AO48" s="13">
        <v>45</v>
      </c>
      <c r="AP48" s="74"/>
      <c r="AQ48" s="75"/>
    </row>
    <row r="49" spans="1:43" ht="27" hidden="1" customHeight="1" thickBot="1" x14ac:dyDescent="0.45">
      <c r="A49" s="1136" t="s">
        <v>101</v>
      </c>
      <c r="B49" s="91" t="s">
        <v>146</v>
      </c>
      <c r="C49" s="558" t="s">
        <v>324</v>
      </c>
      <c r="D49" s="92"/>
      <c r="E49" s="93"/>
      <c r="F49" s="99"/>
      <c r="G49" s="99"/>
      <c r="H49" s="99"/>
      <c r="I49" s="99"/>
      <c r="J49" s="99"/>
      <c r="K49" s="99"/>
      <c r="L49" s="94"/>
      <c r="M49" s="99"/>
      <c r="N49" s="94"/>
      <c r="O49" s="99"/>
      <c r="P49" s="94"/>
      <c r="Q49" s="99"/>
      <c r="R49" s="94"/>
      <c r="S49" s="99"/>
      <c r="T49" s="94"/>
      <c r="U49" s="99"/>
      <c r="V49" s="94"/>
      <c r="W49" s="99"/>
      <c r="X49" s="94"/>
      <c r="Y49" s="99"/>
      <c r="Z49" s="94"/>
      <c r="AA49" s="312"/>
      <c r="AB49" s="94"/>
      <c r="AC49" s="312"/>
      <c r="AD49" s="94"/>
      <c r="AE49" s="312"/>
      <c r="AF49" s="94"/>
      <c r="AG49" s="312"/>
      <c r="AH49" s="94"/>
      <c r="AI49" s="312"/>
      <c r="AJ49" s="188">
        <f t="shared" si="13"/>
        <v>0</v>
      </c>
      <c r="AK49" s="1216" t="str">
        <f>CONCATENATE(IF(D50&gt;D49," * Positive F01-27 for Age "&amp;D20&amp;" "&amp;D21&amp;" is more than Tested F01-26"&amp;CHAR(10),""),IF(E50&gt;E49," * Positive F01-27 for Age "&amp;D20&amp;" "&amp;E21&amp;" is more than Tested F01-26"&amp;CHAR(10),""),IF(F50&gt;F49," * Positive F01-27 for Age "&amp;F20&amp;" "&amp;F21&amp;" is more than Tested F01-26"&amp;CHAR(10),""),IF(G50&gt;G49," * Positive F01-27 for Age "&amp;F20&amp;" "&amp;G21&amp;" is more than Tested F01-26"&amp;CHAR(10),""),IF(H50&gt;H49," * Positive F01-27 for Age "&amp;H20&amp;" "&amp;H21&amp;" is more than Tested F01-26"&amp;CHAR(10),""),IF(I50&gt;I49," * Positive F01-27 for Age "&amp;H20&amp;" "&amp;I21&amp;" is more than Tested F01-26"&amp;CHAR(10),""),IF(J50&gt;J49," * Positive F01-27 for Age "&amp;J20&amp;" "&amp;J21&amp;" is more than Tested F01-26"&amp;CHAR(10),""),IF(K50&gt;K49," * Positive F01-27 for Age "&amp;J20&amp;" "&amp;K21&amp;" is more than Tested F01-26"&amp;CHAR(10),""),IF(L50&gt;L49," * Positive F01-27 for Age "&amp;L20&amp;" "&amp;L21&amp;" is more than Tested F01-26"&amp;CHAR(10),""),IF(M50&gt;M49," * Positive F01-27 for Age "&amp;L20&amp;" "&amp;M21&amp;" is more than Tested F01-26"&amp;CHAR(10),""),IF(N50&gt;N49," * Positive F01-27 for Age "&amp;N20&amp;" "&amp;N21&amp;" is more than Tested F01-26"&amp;CHAR(10),""),IF(O50&gt;O49," * Positive F01-27 for Age "&amp;N20&amp;" "&amp;O21&amp;" is more than Tested F01-26"&amp;CHAR(10),""),IF(P50&gt;P49," * Positive F01-27 for Age "&amp;P20&amp;" "&amp;P21&amp;" is more than Tested F01-26"&amp;CHAR(10),""),IF(Q50&gt;Q49," * Positive F01-27 for Age "&amp;P20&amp;" "&amp;Q21&amp;" is more than Tested F01-26"&amp;CHAR(10),""),IF(R50&gt;R49," * Positive F01-27 for Age "&amp;R20&amp;" "&amp;R21&amp;" is more than Tested F01-26"&amp;CHAR(10),""),IF(S50&gt;S49," * Positive F01-27 for Age "&amp;R20&amp;" "&amp;S21&amp;" is more than Tested F01-26"&amp;CHAR(10),""),IF(T50&gt;T49," * Positive F01-27 for Age "&amp;T20&amp;" "&amp;T21&amp;" is more than Tested F01-26"&amp;CHAR(10),""),IF(U50&gt;U49," * Positive F01-27 for Age "&amp;T20&amp;" "&amp;U21&amp;" is more than Tested F01-26"&amp;CHAR(10),""),IF(V50&gt;V49," * Positive F01-27 for Age "&amp;V20&amp;" "&amp;V21&amp;" is more than Tested F01-26"&amp;CHAR(10),""),IF(W50&gt;W49," * Positive F01-27 for Age "&amp;V20&amp;" "&amp;W21&amp;" is more than Tested F01-26"&amp;CHAR(10),""),IF(X50&gt;X49," * Positive F01-27 for Age "&amp;X20&amp;" "&amp;X21&amp;" is more than Tested F01-26"&amp;CHAR(10),""),IF(Y50&gt;Y49," * Positive F01-27 for Age "&amp;X20&amp;" "&amp;Y21&amp;" is more than Tested F01-26"&amp;CHAR(10),""),IF(Z50&gt;Z49," * Positive F01-27 for Age "&amp;Z20&amp;" "&amp;Z21&amp;" is more than Tested F01-26"&amp;CHAR(10),""),IF(AA50&gt;AA49," * Positive F01-27 for Age "&amp;Z20&amp;" "&amp;AA21&amp;" is more than Tested F01-26"&amp;CHAR(10),""))</f>
        <v/>
      </c>
      <c r="AL49" s="1142"/>
      <c r="AM49" s="31" t="str">
        <f>CONCATENATE(IF(AND(IFERROR((AJ50*100)/AJ49,0)&gt;10,AJ50&gt;5)," * This facility has a high positivity rate for Index Testing. Kindly confirm if this is the true reflection"&amp;CHAR(10),""),"")</f>
        <v/>
      </c>
      <c r="AN49" s="1241"/>
      <c r="AO49" s="13">
        <v>46</v>
      </c>
      <c r="AP49" s="74"/>
      <c r="AQ49" s="75"/>
    </row>
    <row r="50" spans="1:43" ht="27" hidden="1" customHeight="1" thickBot="1" x14ac:dyDescent="0.45">
      <c r="A50" s="1110"/>
      <c r="B50" s="612" t="s">
        <v>138</v>
      </c>
      <c r="C50" s="584" t="s">
        <v>161</v>
      </c>
      <c r="D50" s="616"/>
      <c r="E50" s="617"/>
      <c r="F50" s="120"/>
      <c r="G50" s="120"/>
      <c r="H50" s="120"/>
      <c r="I50" s="120"/>
      <c r="J50" s="120"/>
      <c r="K50" s="120"/>
      <c r="L50" s="618"/>
      <c r="M50" s="120"/>
      <c r="N50" s="618"/>
      <c r="O50" s="120"/>
      <c r="P50" s="618"/>
      <c r="Q50" s="120"/>
      <c r="R50" s="618"/>
      <c r="S50" s="120"/>
      <c r="T50" s="618"/>
      <c r="U50" s="120"/>
      <c r="V50" s="618"/>
      <c r="W50" s="120"/>
      <c r="X50" s="618"/>
      <c r="Y50" s="120"/>
      <c r="Z50" s="618"/>
      <c r="AA50" s="323"/>
      <c r="AB50" s="618"/>
      <c r="AC50" s="323"/>
      <c r="AD50" s="618"/>
      <c r="AE50" s="323"/>
      <c r="AF50" s="618"/>
      <c r="AG50" s="323"/>
      <c r="AH50" s="618"/>
      <c r="AI50" s="323"/>
      <c r="AJ50" s="192">
        <f t="shared" si="13"/>
        <v>0</v>
      </c>
      <c r="AK50" s="1216"/>
      <c r="AL50" s="1142"/>
      <c r="AM50" s="31"/>
      <c r="AN50" s="1241"/>
      <c r="AO50" s="13">
        <v>47</v>
      </c>
      <c r="AP50" s="74"/>
      <c r="AQ50" s="75"/>
    </row>
    <row r="51" spans="1:43" ht="27" thickBot="1" x14ac:dyDescent="0.45">
      <c r="A51" s="1232" t="s">
        <v>998</v>
      </c>
      <c r="B51" s="802" t="s">
        <v>132</v>
      </c>
      <c r="C51" s="977" t="s">
        <v>1175</v>
      </c>
      <c r="D51" s="623"/>
      <c r="E51" s="624"/>
      <c r="F51" s="621"/>
      <c r="G51" s="619"/>
      <c r="H51" s="619"/>
      <c r="I51" s="619"/>
      <c r="J51" s="619"/>
      <c r="K51" s="619"/>
      <c r="L51" s="619"/>
      <c r="M51" s="619"/>
      <c r="N51" s="619"/>
      <c r="O51" s="619"/>
      <c r="P51" s="619"/>
      <c r="Q51" s="619"/>
      <c r="R51" s="619"/>
      <c r="S51" s="619"/>
      <c r="T51" s="619"/>
      <c r="U51" s="619"/>
      <c r="V51" s="619"/>
      <c r="W51" s="619"/>
      <c r="X51" s="619"/>
      <c r="Y51" s="619"/>
      <c r="Z51" s="489">
        <f t="shared" ref="Z51:Z53" si="29">SUM(AB51,AD51,AF51,AH51)</f>
        <v>0</v>
      </c>
      <c r="AA51" s="489">
        <f t="shared" ref="AA51:AA53" si="30">SUM(AC51,AE51,AG51,AI51)</f>
        <v>0</v>
      </c>
      <c r="AB51" s="619"/>
      <c r="AC51" s="619"/>
      <c r="AD51" s="619"/>
      <c r="AE51" s="619"/>
      <c r="AF51" s="619"/>
      <c r="AG51" s="619"/>
      <c r="AH51" s="619"/>
      <c r="AI51" s="619"/>
      <c r="AJ51" s="188">
        <f t="shared" si="13"/>
        <v>0</v>
      </c>
      <c r="AK51" s="582" t="str">
        <f>CONCATENATE(IF(D52&gt;D51," * SNS Contacts Elicited for Age "&amp;D20&amp;" "&amp;D21&amp;" is more than Tested F01-24"&amp;CHAR(10),""),IF(E52&gt;E51," * SNS Contacts Elicited for Age "&amp;D20&amp;" "&amp;E21&amp;" is more than Tested F01-24"&amp;CHAR(10),""),IF(F52&gt;F51," * SNS Contacts Elicited for Age "&amp;F20&amp;" "&amp;F21&amp;" is more than Tested F01-24"&amp;CHAR(10),""),IF(G52&gt;G51," * SNS Contacts Elicited for Age "&amp;F20&amp;" "&amp;G21&amp;" is more than Tested F01-24"&amp;CHAR(10),""),IF(H52&gt;H51," * SNS Contacts Elicited for Age "&amp;H20&amp;" "&amp;H21&amp;" is more than Tested F01-24"&amp;CHAR(10),""),IF(I52&gt;I51," * SNS Contacts Elicited for Age "&amp;H20&amp;" "&amp;I21&amp;" is more than Tested F01-24"&amp;CHAR(10),""),IF(J52&gt;J51," * SNS Contacts Elicited for Age "&amp;J20&amp;" "&amp;J21&amp;" is more than Tested F01-24"&amp;CHAR(10),""),IF(K52&gt;K51," * SNS Contacts Elicited for Age "&amp;J20&amp;" "&amp;K21&amp;" is more than Tested F01-24"&amp;CHAR(10),""),IF(L52&gt;L51," * SNS Contacts Elicited for Age "&amp;L20&amp;" "&amp;L21&amp;" is more than Tested F01-24"&amp;CHAR(10),""),IF(M52&gt;M51," * SNS Contacts Elicited for Age "&amp;L20&amp;" "&amp;M21&amp;" is more than Tested F01-24"&amp;CHAR(10),""),IF(N52&gt;N51," * SNS Contacts Elicited for Age "&amp;N20&amp;" "&amp;N21&amp;" is more than Tested F01-24"&amp;CHAR(10),""),IF(O52&gt;O51," * SNS Contacts Elicited for Age "&amp;N20&amp;" "&amp;O21&amp;" is more than Tested F01-24"&amp;CHAR(10),""),IF(P52&gt;P51," * SNS Contacts Elicited for Age "&amp;P20&amp;" "&amp;P21&amp;" is more than Tested F01-24"&amp;CHAR(10),""),IF(Q52&gt;Q51," * SNS Contacts Elicited for Age "&amp;P20&amp;" "&amp;Q21&amp;" is more than Tested F01-24"&amp;CHAR(10),""),IF(R52&gt;R51," * SNS Contacts Elicited for Age "&amp;R20&amp;" "&amp;R21&amp;" is more than Tested F01-24"&amp;CHAR(10),""),IF(S52&gt;S51," * SNS Contacts Elicited for Age "&amp;R20&amp;" "&amp;S21&amp;" is more than Tested F01-24"&amp;CHAR(10),""),IF(T52&gt;T51," * SNS Contacts Elicited for Age "&amp;T20&amp;" "&amp;T21&amp;" is more than Tested F01-24"&amp;CHAR(10),""),IF(U52&gt;U51," * SNS Contacts Elicited for Age "&amp;T20&amp;" "&amp;U21&amp;" is more than Tested F01-24"&amp;CHAR(10),""),IF(V52&gt;V51," * SNS Contacts Elicited for Age "&amp;V20&amp;" "&amp;V21&amp;" is more than Tested F01-24"&amp;CHAR(10),""),IF(W52&gt;W51," * SNS Contacts Elicited for Age "&amp;V20&amp;" "&amp;W21&amp;" is more than Tested F01-24"&amp;CHAR(10),""),IF(X52&gt;X51," * SNS Contacts Elicited for Age "&amp;X20&amp;" "&amp;X21&amp;" is more than Tested F01-24"&amp;CHAR(10),""),IF(Y52&gt;Y51," * SNS Contacts Elicited for Age "&amp;X20&amp;" "&amp;Y21&amp;" is more than Tested F01-24"&amp;CHAR(10),""),IF(Z52&gt;Z51," * SNS Contacts Elicited for Age "&amp;Z20&amp;" "&amp;Z21&amp;" is more than Tested F01-24"&amp;CHAR(10),""),IF(AA52&gt;AA51," * SNS Contacts Elicited for Age "&amp;Z20&amp;" "&amp;AA21&amp;" is more than Tested F01-24"&amp;CHAR(10),""))</f>
        <v/>
      </c>
      <c r="AL51" s="1142"/>
      <c r="AM51" s="31"/>
      <c r="AN51" s="1241"/>
      <c r="AO51" s="13"/>
      <c r="AP51" s="74"/>
      <c r="AQ51" s="75"/>
    </row>
    <row r="52" spans="1:43" ht="26.25" customHeight="1" x14ac:dyDescent="0.4">
      <c r="A52" s="1268"/>
      <c r="B52" s="613" t="s">
        <v>146</v>
      </c>
      <c r="C52" s="615" t="s">
        <v>999</v>
      </c>
      <c r="D52" s="625"/>
      <c r="E52" s="473"/>
      <c r="F52" s="622"/>
      <c r="G52" s="622"/>
      <c r="H52" s="622"/>
      <c r="I52" s="622"/>
      <c r="J52" s="622"/>
      <c r="K52" s="622"/>
      <c r="L52" s="622"/>
      <c r="M52" s="622"/>
      <c r="N52" s="622"/>
      <c r="O52" s="622"/>
      <c r="P52" s="622"/>
      <c r="Q52" s="622"/>
      <c r="R52" s="622"/>
      <c r="S52" s="622"/>
      <c r="T52" s="622"/>
      <c r="U52" s="622"/>
      <c r="V52" s="622"/>
      <c r="W52" s="622"/>
      <c r="X52" s="622"/>
      <c r="Y52" s="622"/>
      <c r="Z52" s="489">
        <f t="shared" si="29"/>
        <v>0</v>
      </c>
      <c r="AA52" s="489">
        <f t="shared" si="30"/>
        <v>0</v>
      </c>
      <c r="AB52" s="622"/>
      <c r="AC52" s="622"/>
      <c r="AD52" s="622"/>
      <c r="AE52" s="622"/>
      <c r="AF52" s="622"/>
      <c r="AG52" s="622"/>
      <c r="AH52" s="622"/>
      <c r="AI52" s="622"/>
      <c r="AJ52" s="188">
        <f t="shared" si="13"/>
        <v>0</v>
      </c>
      <c r="AK52" s="296" t="str">
        <f>CONCATENATE(IF(D53&gt;D52," * Positive F01-25 for Age "&amp;D20&amp;" "&amp;D21&amp;" is more than Tested F01-24"&amp;CHAR(10),""),IF(E53&gt;E52," * Positive F01-25 for Age "&amp;D20&amp;" "&amp;E21&amp;" is more than Tested F01-24"&amp;CHAR(10),""),IF(F53&gt;F52," * Positive F01-25 for Age "&amp;F20&amp;" "&amp;F21&amp;" is more than Tested F01-24"&amp;CHAR(10),""),IF(G53&gt;G52," * Positive F01-25 for Age "&amp;F20&amp;" "&amp;G21&amp;" is more than Tested F01-24"&amp;CHAR(10),""),IF(H53&gt;H52," * Positive F01-25 for Age "&amp;H20&amp;" "&amp;H21&amp;" is more than Tested F01-24"&amp;CHAR(10),""),IF(I53&gt;I52," * Positive F01-25 for Age "&amp;H20&amp;" "&amp;I21&amp;" is more than Tested F01-24"&amp;CHAR(10),""),IF(J53&gt;J52," * Positive F01-25 for Age "&amp;J20&amp;" "&amp;J21&amp;" is more than Tested F01-24"&amp;CHAR(10),""),IF(K53&gt;K52," * Positive F01-25 for Age "&amp;J20&amp;" "&amp;K21&amp;" is more than Tested F01-24"&amp;CHAR(10),""),IF(L53&gt;L52," * Positive F01-25 for Age "&amp;L20&amp;" "&amp;L21&amp;" is more than Tested F01-24"&amp;CHAR(10),""),IF(M53&gt;M52," * Positive F01-25 for Age "&amp;L20&amp;" "&amp;M21&amp;" is more than Tested F01-24"&amp;CHAR(10),""),IF(N53&gt;N52," * Positive F01-25 for Age "&amp;N20&amp;" "&amp;N21&amp;" is more than Tested F01-24"&amp;CHAR(10),""),IF(O53&gt;O52," * Positive F01-25 for Age "&amp;N20&amp;" "&amp;O21&amp;" is more than Tested F01-24"&amp;CHAR(10),""),IF(P53&gt;P52," * Positive F01-25 for Age "&amp;P20&amp;" "&amp;P21&amp;" is more than Tested F01-24"&amp;CHAR(10),""),IF(Q53&gt;Q52," * Positive F01-25 for Age "&amp;P20&amp;" "&amp;Q21&amp;" is more than Tested F01-24"&amp;CHAR(10),""),IF(R53&gt;R52," * Positive F01-25 for Age "&amp;R20&amp;" "&amp;R21&amp;" is more than Tested F01-24"&amp;CHAR(10),""),IF(S53&gt;S52," * Positive F01-25 for Age "&amp;R20&amp;" "&amp;S21&amp;" is more than Tested F01-24"&amp;CHAR(10),""),IF(T53&gt;T52," * Positive F01-25 for Age "&amp;T20&amp;" "&amp;T21&amp;" is more than Tested F01-24"&amp;CHAR(10),""),IF(U53&gt;U52," * Positive F01-25 for Age "&amp;T20&amp;" "&amp;U21&amp;" is more than Tested F01-24"&amp;CHAR(10),""),IF(V53&gt;V52," * Positive F01-25 for Age "&amp;V20&amp;" "&amp;V21&amp;" is more than Tested F01-24"&amp;CHAR(10),""),IF(W53&gt;W52," * Positive F01-25 for Age "&amp;V20&amp;" "&amp;W21&amp;" is more than Tested F01-24"&amp;CHAR(10),""),IF(X53&gt;X52," * Positive F01-25 for Age "&amp;X20&amp;" "&amp;X21&amp;" is more than Tested F01-24"&amp;CHAR(10),""),IF(Y53&gt;Y52," * Positive F01-25 for Age "&amp;X20&amp;" "&amp;Y21&amp;" is more than Tested F01-24"&amp;CHAR(10),""),IF(Z53&gt;Z52," * Positive F01-25 for Age "&amp;Z20&amp;" "&amp;Z21&amp;" is more than Tested F01-24"&amp;CHAR(10),""),IF(AA53&gt;AA52," * Positive F01-25 for Age "&amp;Z20&amp;" "&amp;AA21&amp;" is more than Tested F01-24"&amp;CHAR(10),""))</f>
        <v/>
      </c>
      <c r="AL52" s="1142"/>
      <c r="AM52" s="31"/>
      <c r="AN52" s="1241"/>
      <c r="AO52" s="13"/>
      <c r="AP52" s="74"/>
      <c r="AQ52" s="75"/>
    </row>
    <row r="53" spans="1:43" ht="27" thickBot="1" x14ac:dyDescent="0.45">
      <c r="A53" s="1268"/>
      <c r="B53" s="642" t="s">
        <v>138</v>
      </c>
      <c r="C53" s="626" t="s">
        <v>1000</v>
      </c>
      <c r="D53" s="643"/>
      <c r="E53" s="644"/>
      <c r="F53" s="645"/>
      <c r="G53" s="646"/>
      <c r="H53" s="646"/>
      <c r="I53" s="646"/>
      <c r="J53" s="646"/>
      <c r="K53" s="646"/>
      <c r="L53" s="646"/>
      <c r="M53" s="646"/>
      <c r="N53" s="646"/>
      <c r="O53" s="646"/>
      <c r="P53" s="646"/>
      <c r="Q53" s="646"/>
      <c r="R53" s="646"/>
      <c r="S53" s="646"/>
      <c r="T53" s="646"/>
      <c r="U53" s="646"/>
      <c r="V53" s="646"/>
      <c r="W53" s="646"/>
      <c r="X53" s="646"/>
      <c r="Y53" s="646"/>
      <c r="Z53" s="489">
        <f t="shared" si="29"/>
        <v>0</v>
      </c>
      <c r="AA53" s="489">
        <f t="shared" si="30"/>
        <v>0</v>
      </c>
      <c r="AB53" s="646"/>
      <c r="AC53" s="646"/>
      <c r="AD53" s="646"/>
      <c r="AE53" s="646"/>
      <c r="AF53" s="646"/>
      <c r="AG53" s="646"/>
      <c r="AH53" s="646"/>
      <c r="AI53" s="646"/>
      <c r="AJ53" s="362">
        <f t="shared" si="13"/>
        <v>0</v>
      </c>
      <c r="AK53" s="296"/>
      <c r="AL53" s="1142"/>
      <c r="AM53" s="31"/>
      <c r="AN53" s="1241"/>
      <c r="AO53" s="13"/>
      <c r="AP53" s="74"/>
      <c r="AQ53" s="75"/>
    </row>
    <row r="54" spans="1:43" s="8" customFormat="1" ht="26.25" x14ac:dyDescent="0.4">
      <c r="A54" s="1236" t="s">
        <v>1181</v>
      </c>
      <c r="B54" s="647" t="s">
        <v>604</v>
      </c>
      <c r="C54" s="806" t="s">
        <v>325</v>
      </c>
      <c r="D54" s="809">
        <f>SUM(D27+D33+D35+D37+D39+D41+D43+D45+D47+D49+D52)</f>
        <v>0</v>
      </c>
      <c r="E54" s="810">
        <f t="shared" ref="E54:X54" si="31">SUM(E27+E33+E35+E37+E39+E41+E43+E45+E47+E49+E52)</f>
        <v>0</v>
      </c>
      <c r="F54" s="810">
        <f t="shared" si="31"/>
        <v>0</v>
      </c>
      <c r="G54" s="810">
        <f t="shared" si="31"/>
        <v>0</v>
      </c>
      <c r="H54" s="810">
        <f t="shared" si="31"/>
        <v>0</v>
      </c>
      <c r="I54" s="810">
        <f t="shared" si="31"/>
        <v>0</v>
      </c>
      <c r="J54" s="810">
        <f t="shared" si="31"/>
        <v>0</v>
      </c>
      <c r="K54" s="810">
        <f t="shared" si="31"/>
        <v>0</v>
      </c>
      <c r="L54" s="810">
        <f t="shared" si="31"/>
        <v>0</v>
      </c>
      <c r="M54" s="810">
        <f t="shared" si="31"/>
        <v>0</v>
      </c>
      <c r="N54" s="810">
        <f t="shared" si="31"/>
        <v>0</v>
      </c>
      <c r="O54" s="810">
        <f t="shared" si="31"/>
        <v>0</v>
      </c>
      <c r="P54" s="810">
        <f t="shared" si="31"/>
        <v>0</v>
      </c>
      <c r="Q54" s="810">
        <f t="shared" si="31"/>
        <v>0</v>
      </c>
      <c r="R54" s="810">
        <f t="shared" si="31"/>
        <v>0</v>
      </c>
      <c r="S54" s="810">
        <f t="shared" si="31"/>
        <v>0</v>
      </c>
      <c r="T54" s="810">
        <f t="shared" si="31"/>
        <v>0</v>
      </c>
      <c r="U54" s="810">
        <f t="shared" si="31"/>
        <v>0</v>
      </c>
      <c r="V54" s="810">
        <f t="shared" si="31"/>
        <v>0</v>
      </c>
      <c r="W54" s="810">
        <f t="shared" si="31"/>
        <v>0</v>
      </c>
      <c r="X54" s="810">
        <f t="shared" si="31"/>
        <v>0</v>
      </c>
      <c r="Y54" s="810">
        <f t="shared" ref="Y54:AH54" si="32">SUM(Y27+Y33+Y35+Y37+Y39+Y41+Y43+Y45+Y47+Y49+Y52)</f>
        <v>0</v>
      </c>
      <c r="Z54" s="810">
        <f t="shared" si="32"/>
        <v>0</v>
      </c>
      <c r="AA54" s="810">
        <f t="shared" si="32"/>
        <v>0</v>
      </c>
      <c r="AB54" s="810">
        <f t="shared" si="32"/>
        <v>0</v>
      </c>
      <c r="AC54" s="810">
        <f t="shared" si="32"/>
        <v>0</v>
      </c>
      <c r="AD54" s="810">
        <f t="shared" si="32"/>
        <v>0</v>
      </c>
      <c r="AE54" s="810">
        <f t="shared" si="32"/>
        <v>0</v>
      </c>
      <c r="AF54" s="810">
        <f t="shared" si="32"/>
        <v>0</v>
      </c>
      <c r="AG54" s="810">
        <f t="shared" si="32"/>
        <v>0</v>
      </c>
      <c r="AH54" s="810">
        <f t="shared" si="32"/>
        <v>0</v>
      </c>
      <c r="AI54" s="811">
        <f t="shared" ref="AI54" si="33">SUM(AI27+AI33+AI35+AI37+AI39+AI41+AI43+AI45+AI47+AI49+AI52)</f>
        <v>0</v>
      </c>
      <c r="AJ54" s="188">
        <f t="shared" si="13"/>
        <v>0</v>
      </c>
      <c r="AK54" s="30" t="str">
        <f>CONCATENATE(IF(D55&gt;D54," * Totals HTS Positive F01-29 for Age "&amp;D20&amp;" "&amp;D21&amp;" is more than Total Tested F01-28"&amp;CHAR(10),""),IF(E55&gt;E54," * Totals HTS Positive F01-29 for Age "&amp;D20&amp;" "&amp;E21&amp;" is more than Total Tested F01-28"&amp;CHAR(10),""),IF(F55&gt;F54," * Totals HTS Positive F01-29 for Age "&amp;F20&amp;" "&amp;F21&amp;" is more than Total Tested F01-28"&amp;CHAR(10),""),IF(G55&gt;G54," * Totals HTS Positive F01-29 for Age "&amp;F20&amp;" "&amp;G21&amp;" is more than Total Tested F01-28"&amp;CHAR(10),""),IF(H55&gt;H54," * Totals HTS Positive F01-29 for Age "&amp;H20&amp;" "&amp;H21&amp;" is more than Total Tested F01-28"&amp;CHAR(10),""),IF(I55&gt;I54," * Totals HTS Positive F01-29 for Age "&amp;H20&amp;" "&amp;I21&amp;" is more than Total Tested F01-28"&amp;CHAR(10),""),IF(J55&gt;J54," * Totals HTS Positive F01-29 for Age "&amp;J20&amp;" "&amp;J21&amp;" is more than Total Tested F01-28"&amp;CHAR(10),""),IF(K55&gt;K54," * Totals HTS Positive F01-29 for Age "&amp;J20&amp;" "&amp;K21&amp;" is more than Total Tested F01-28"&amp;CHAR(10),""),IF(L55&gt;L54," * Totals HTS Positive F01-29 for Age "&amp;L20&amp;" "&amp;L21&amp;" is more than Total Tested F01-28"&amp;CHAR(10),""),IF(M55&gt;M54," * Totals HTS Positive F01-29 for Age "&amp;L20&amp;" "&amp;M21&amp;" is more than Total Tested F01-28"&amp;CHAR(10),""),IF(N55&gt;N54," * Totals HTS Positive F01-29 for Age "&amp;N20&amp;" "&amp;N21&amp;" is more than Total Tested F01-28"&amp;CHAR(10),""),IF(O55&gt;O54," * Totals HTS Positive F01-29 for Age "&amp;N20&amp;" "&amp;O21&amp;" is more than Total Tested F01-28"&amp;CHAR(10),""),IF(P55&gt;P54," * Totals HTS Positive F01-29 for Age "&amp;P20&amp;" "&amp;P21&amp;" is more than Total Tested F01-28"&amp;CHAR(10),""),IF(Q55&gt;Q54," * Totals HTS Positive F01-29 for Age "&amp;P20&amp;" "&amp;Q21&amp;" is more than Total Tested F01-28"&amp;CHAR(10),""),IF(R55&gt;R54," * Totals HTS Positive F01-29 for Age "&amp;R20&amp;" "&amp;R21&amp;" is more than Total Tested F01-28"&amp;CHAR(10),""),IF(S55&gt;S54," * Totals HTS Positive F01-29 for Age "&amp;R20&amp;" "&amp;S21&amp;" is more than Total Tested F01-28"&amp;CHAR(10),""),IF(T55&gt;T54," * Totals HTS Positive F01-29 for Age "&amp;T20&amp;" "&amp;T21&amp;" is more than Total Tested F01-28"&amp;CHAR(10),""),IF(U55&gt;U54," * Totals HTS Positive F01-29 for Age "&amp;T20&amp;" "&amp;U21&amp;" is more than Total Tested F01-28"&amp;CHAR(10),""),IF(V55&gt;V54," * Totals HTS Positive F01-29 for Age "&amp;V20&amp;" "&amp;V21&amp;" is more than Total Tested F01-28"&amp;CHAR(10),""),IF(W55&gt;W54," * Totals HTS Positive F01-29 for Age "&amp;V20&amp;" "&amp;W21&amp;" is more than Total Tested F01-28"&amp;CHAR(10),""),IF(X55&gt;X54," * Totals HTS Positive F01-29 for Age "&amp;X20&amp;" "&amp;X21&amp;" is more than Total Tested F01-28"&amp;CHAR(10),""),IF(Y55&gt;Y54," * Totals HTS Positive F01-29 for Age "&amp;X20&amp;" "&amp;Y21&amp;" is more than Total Tested F01-28"&amp;CHAR(10),""),IF(Z55&gt;Z54," * Totals HTS Positive F01-29 for Age "&amp;Z20&amp;" "&amp;Z21&amp;" is more than Total Tested F01-28"&amp;CHAR(10),""),IF(AA55&gt;AA54," * Totals HTS Positive F01-29 for Age "&amp;Z20&amp;" "&amp;AA21&amp;" is more than Total Tested F01-28"&amp;CHAR(10),""))</f>
        <v/>
      </c>
      <c r="AL54" s="1142"/>
      <c r="AM54" s="108" t="str">
        <f>CONCATENATE(IF(AJ346&gt;SUM(AJ28,AJ34,AJ36,AJ38,AJ40,AJ42,AJ44,AJ46,AJ48,AJ50,AJ295,AJ299,AJ303,AJ307)," * This site has more started on ART than positives"&amp;CHAR(10),""),"")</f>
        <v/>
      </c>
      <c r="AN54" s="1241"/>
      <c r="AO54" s="13">
        <v>48</v>
      </c>
      <c r="AP54" s="109"/>
      <c r="AQ54" s="110"/>
    </row>
    <row r="55" spans="1:43" s="114" customFormat="1" ht="27" thickBot="1" x14ac:dyDescent="0.45">
      <c r="A55" s="1237"/>
      <c r="B55" s="649" t="s">
        <v>613</v>
      </c>
      <c r="C55" s="807" t="s">
        <v>326</v>
      </c>
      <c r="D55" s="812">
        <f>SUM(D28+D34+D36+D38+D40+D42+D44+D46+D48+D50+D53)</f>
        <v>0</v>
      </c>
      <c r="E55" s="813">
        <f t="shared" ref="E55:X55" si="34">SUM(E28+E34+E36+E38+E40+E42+E44+E46+E48+E50+E53)</f>
        <v>0</v>
      </c>
      <c r="F55" s="813">
        <f t="shared" si="34"/>
        <v>0</v>
      </c>
      <c r="G55" s="813">
        <f t="shared" si="34"/>
        <v>0</v>
      </c>
      <c r="H55" s="813">
        <f t="shared" si="34"/>
        <v>0</v>
      </c>
      <c r="I55" s="813">
        <f t="shared" si="34"/>
        <v>0</v>
      </c>
      <c r="J55" s="813">
        <f t="shared" si="34"/>
        <v>0</v>
      </c>
      <c r="K55" s="813">
        <f t="shared" si="34"/>
        <v>0</v>
      </c>
      <c r="L55" s="813">
        <f t="shared" si="34"/>
        <v>0</v>
      </c>
      <c r="M55" s="813">
        <f t="shared" si="34"/>
        <v>0</v>
      </c>
      <c r="N55" s="813">
        <f t="shared" si="34"/>
        <v>0</v>
      </c>
      <c r="O55" s="813">
        <f t="shared" si="34"/>
        <v>0</v>
      </c>
      <c r="P55" s="813">
        <f t="shared" si="34"/>
        <v>0</v>
      </c>
      <c r="Q55" s="813">
        <f t="shared" si="34"/>
        <v>0</v>
      </c>
      <c r="R55" s="813">
        <f t="shared" si="34"/>
        <v>0</v>
      </c>
      <c r="S55" s="813">
        <f t="shared" si="34"/>
        <v>0</v>
      </c>
      <c r="T55" s="813">
        <f t="shared" si="34"/>
        <v>0</v>
      </c>
      <c r="U55" s="813">
        <f t="shared" si="34"/>
        <v>0</v>
      </c>
      <c r="V55" s="813">
        <f t="shared" si="34"/>
        <v>0</v>
      </c>
      <c r="W55" s="813">
        <f t="shared" si="34"/>
        <v>0</v>
      </c>
      <c r="X55" s="813">
        <f t="shared" si="34"/>
        <v>0</v>
      </c>
      <c r="Y55" s="813">
        <f t="shared" ref="Y55:AH55" si="35">SUM(Y28+Y34+Y36+Y38+Y40+Y42+Y44+Y46+Y48+Y50+Y53)</f>
        <v>0</v>
      </c>
      <c r="Z55" s="813">
        <f t="shared" si="35"/>
        <v>0</v>
      </c>
      <c r="AA55" s="813">
        <f t="shared" si="35"/>
        <v>0</v>
      </c>
      <c r="AB55" s="813">
        <f t="shared" si="35"/>
        <v>0</v>
      </c>
      <c r="AC55" s="813">
        <f t="shared" si="35"/>
        <v>0</v>
      </c>
      <c r="AD55" s="813">
        <f t="shared" si="35"/>
        <v>0</v>
      </c>
      <c r="AE55" s="813">
        <f t="shared" si="35"/>
        <v>0</v>
      </c>
      <c r="AF55" s="813">
        <f t="shared" si="35"/>
        <v>0</v>
      </c>
      <c r="AG55" s="813">
        <f t="shared" si="35"/>
        <v>0</v>
      </c>
      <c r="AH55" s="813">
        <f t="shared" si="35"/>
        <v>0</v>
      </c>
      <c r="AI55" s="814">
        <f t="shared" ref="AI55" si="36">SUM(AI28+AI34+AI36+AI38+AI40+AI42+AI44+AI46+AI48+AI50+AI53)</f>
        <v>0</v>
      </c>
      <c r="AJ55" s="369">
        <f t="shared" si="13"/>
        <v>0</v>
      </c>
      <c r="AK55" s="111"/>
      <c r="AL55" s="1142"/>
      <c r="AM55" s="112" t="str">
        <f>CONCATENATE(IF(AND(AJ346=0,SUM(AJ28,AJ34,AJ36,AJ38,AJ40,AJ42,AJ44,AJ46,AJ48,AJ50,AJ295,AJ299,AJ303,AJ307)&gt;0)," * This site has positives but none was started on ART"&amp;CHAR(10),""),"")</f>
        <v/>
      </c>
      <c r="AN55" s="1242"/>
      <c r="AO55" s="13">
        <v>49</v>
      </c>
      <c r="AP55" s="113"/>
      <c r="AQ55" s="110"/>
    </row>
    <row r="56" spans="1:43" s="8" customFormat="1" ht="26.25" x14ac:dyDescent="0.4">
      <c r="A56" s="1236" t="s">
        <v>1182</v>
      </c>
      <c r="B56" s="803" t="s">
        <v>1183</v>
      </c>
      <c r="C56" s="806" t="s">
        <v>1185</v>
      </c>
      <c r="D56" s="808">
        <f>SUM(D27+D35+D37+D39+D41+D43+D45+D47+D49+D52+D294+D298+D300+D302+D304+D306+D308+D310+D312+D33)</f>
        <v>0</v>
      </c>
      <c r="E56" s="808">
        <f t="shared" ref="E56:AA56" si="37">SUM(E27+E35+E37+E39+E41+E43+E45+E47+E49+E52+E294+E298+E300+E302+E304+E306+E308+E310+E312+E33)</f>
        <v>0</v>
      </c>
      <c r="F56" s="808">
        <f t="shared" si="37"/>
        <v>0</v>
      </c>
      <c r="G56" s="808">
        <f t="shared" si="37"/>
        <v>0</v>
      </c>
      <c r="H56" s="808">
        <f t="shared" si="37"/>
        <v>0</v>
      </c>
      <c r="I56" s="808">
        <f t="shared" si="37"/>
        <v>0</v>
      </c>
      <c r="J56" s="808">
        <f t="shared" si="37"/>
        <v>0</v>
      </c>
      <c r="K56" s="808">
        <f t="shared" si="37"/>
        <v>0</v>
      </c>
      <c r="L56" s="808">
        <f t="shared" si="37"/>
        <v>0</v>
      </c>
      <c r="M56" s="808">
        <f t="shared" si="37"/>
        <v>0</v>
      </c>
      <c r="N56" s="808">
        <f t="shared" si="37"/>
        <v>0</v>
      </c>
      <c r="O56" s="808">
        <f t="shared" si="37"/>
        <v>0</v>
      </c>
      <c r="P56" s="808">
        <f t="shared" si="37"/>
        <v>0</v>
      </c>
      <c r="Q56" s="808">
        <f t="shared" si="37"/>
        <v>0</v>
      </c>
      <c r="R56" s="808">
        <f t="shared" si="37"/>
        <v>0</v>
      </c>
      <c r="S56" s="808">
        <f t="shared" si="37"/>
        <v>0</v>
      </c>
      <c r="T56" s="808">
        <f t="shared" si="37"/>
        <v>0</v>
      </c>
      <c r="U56" s="808">
        <f t="shared" si="37"/>
        <v>0</v>
      </c>
      <c r="V56" s="808">
        <f t="shared" si="37"/>
        <v>0</v>
      </c>
      <c r="W56" s="808">
        <f>SUM(W27+W35+W37+W39+W41+W43+W45+W47+W49+W52+W294+W298+W300+W302+W304+W306+W308+W310+W312+W33)</f>
        <v>0</v>
      </c>
      <c r="X56" s="808">
        <f t="shared" si="37"/>
        <v>0</v>
      </c>
      <c r="Y56" s="808">
        <f>SUM(Y27+Y35+Y37+Y39+Y41+Y43+Y45+Y47+Y49+Y52+Y294+Y298+Y300+Y302+Y304+Y306+Y308+Y310+Y312+Y33)</f>
        <v>0</v>
      </c>
      <c r="Z56" s="808">
        <f t="shared" si="37"/>
        <v>0</v>
      </c>
      <c r="AA56" s="808">
        <f t="shared" si="37"/>
        <v>0</v>
      </c>
      <c r="AB56" s="808">
        <f t="shared" ref="AB56:AH56" si="38">SUM(AB27+AB35+AB37+AB39+AB41+AB43+AB45+AB47+AB49+AB52+AB294+AB298+AB300+AB302+AB304+AB306+AB308+AB310+AB312+AB33)</f>
        <v>0</v>
      </c>
      <c r="AC56" s="808">
        <f t="shared" si="38"/>
        <v>0</v>
      </c>
      <c r="AD56" s="808">
        <f t="shared" si="38"/>
        <v>0</v>
      </c>
      <c r="AE56" s="808">
        <f t="shared" si="38"/>
        <v>0</v>
      </c>
      <c r="AF56" s="808">
        <f t="shared" si="38"/>
        <v>0</v>
      </c>
      <c r="AG56" s="808">
        <f t="shared" si="38"/>
        <v>0</v>
      </c>
      <c r="AH56" s="808">
        <f t="shared" si="38"/>
        <v>0</v>
      </c>
      <c r="AI56" s="808">
        <f>SUM(AI27+AI35+AI37+AI39+AI41+AI43+AI45+AI47+AI49+AI52+AI294+AI298+AI300+AI302+AI304+AI306+AI308+AI310+AI312+AI33)</f>
        <v>0</v>
      </c>
      <c r="AJ56" s="627">
        <f t="shared" ref="AJ56:AJ62" si="39">SUM(D56:AA56)</f>
        <v>0</v>
      </c>
      <c r="AK56" s="790"/>
      <c r="AL56" s="1142"/>
      <c r="AM56" s="108" t="str">
        <f>CONCATENATE(IF(AJ348&gt;SUM(AJ30,AJ36,AJ38,AJ40,AJ42,AJ44,AJ46,AJ48,AJ50,AJ52,AJ297,AJ301,AJ305,AJ309)," * This site has more started on ART than positives"&amp;CHAR(10),""),"")</f>
        <v/>
      </c>
      <c r="AN56" s="355"/>
      <c r="AO56" s="13">
        <v>48</v>
      </c>
      <c r="AP56" s="109"/>
      <c r="AQ56" s="110"/>
    </row>
    <row r="57" spans="1:43" s="114" customFormat="1" ht="27" thickBot="1" x14ac:dyDescent="0.45">
      <c r="A57" s="1237"/>
      <c r="B57" s="804" t="s">
        <v>1184</v>
      </c>
      <c r="C57" s="807" t="s">
        <v>1186</v>
      </c>
      <c r="D57" s="641">
        <f t="shared" ref="D57:AI57" si="40">SUM(D28+D34+D36+D38+D40+D42+D44+D46+D48+D50+D53+D295,D299,D301,D303,D305,D307,D309,D311,D313)</f>
        <v>0</v>
      </c>
      <c r="E57" s="641">
        <f t="shared" si="40"/>
        <v>0</v>
      </c>
      <c r="F57" s="641">
        <f t="shared" si="40"/>
        <v>0</v>
      </c>
      <c r="G57" s="641">
        <f t="shared" si="40"/>
        <v>0</v>
      </c>
      <c r="H57" s="641">
        <f t="shared" si="40"/>
        <v>0</v>
      </c>
      <c r="I57" s="641">
        <f t="shared" si="40"/>
        <v>0</v>
      </c>
      <c r="J57" s="641">
        <f t="shared" si="40"/>
        <v>0</v>
      </c>
      <c r="K57" s="641">
        <f t="shared" si="40"/>
        <v>0</v>
      </c>
      <c r="L57" s="641">
        <f t="shared" si="40"/>
        <v>0</v>
      </c>
      <c r="M57" s="641">
        <f t="shared" si="40"/>
        <v>0</v>
      </c>
      <c r="N57" s="641">
        <f t="shared" si="40"/>
        <v>0</v>
      </c>
      <c r="O57" s="641">
        <f t="shared" si="40"/>
        <v>0</v>
      </c>
      <c r="P57" s="641">
        <f t="shared" si="40"/>
        <v>0</v>
      </c>
      <c r="Q57" s="641">
        <f t="shared" si="40"/>
        <v>0</v>
      </c>
      <c r="R57" s="641">
        <f t="shared" si="40"/>
        <v>0</v>
      </c>
      <c r="S57" s="641">
        <f t="shared" si="40"/>
        <v>0</v>
      </c>
      <c r="T57" s="641">
        <f t="shared" si="40"/>
        <v>0</v>
      </c>
      <c r="U57" s="641">
        <f t="shared" si="40"/>
        <v>0</v>
      </c>
      <c r="V57" s="641">
        <f t="shared" si="40"/>
        <v>0</v>
      </c>
      <c r="W57" s="641">
        <f t="shared" si="40"/>
        <v>0</v>
      </c>
      <c r="X57" s="641">
        <f t="shared" si="40"/>
        <v>0</v>
      </c>
      <c r="Y57" s="641">
        <f t="shared" si="40"/>
        <v>0</v>
      </c>
      <c r="Z57" s="641">
        <f t="shared" si="40"/>
        <v>0</v>
      </c>
      <c r="AA57" s="641">
        <f t="shared" si="40"/>
        <v>0</v>
      </c>
      <c r="AB57" s="641">
        <f t="shared" si="40"/>
        <v>0</v>
      </c>
      <c r="AC57" s="641">
        <f t="shared" si="40"/>
        <v>0</v>
      </c>
      <c r="AD57" s="641">
        <f t="shared" si="40"/>
        <v>0</v>
      </c>
      <c r="AE57" s="641">
        <f t="shared" si="40"/>
        <v>0</v>
      </c>
      <c r="AF57" s="641">
        <f t="shared" si="40"/>
        <v>0</v>
      </c>
      <c r="AG57" s="641">
        <f t="shared" si="40"/>
        <v>0</v>
      </c>
      <c r="AH57" s="641">
        <f t="shared" si="40"/>
        <v>0</v>
      </c>
      <c r="AI57" s="641">
        <f t="shared" si="40"/>
        <v>0</v>
      </c>
      <c r="AJ57" s="628">
        <f t="shared" si="39"/>
        <v>0</v>
      </c>
      <c r="AK57" s="790"/>
      <c r="AL57" s="1148"/>
      <c r="AM57" s="112" t="str">
        <f>CONCATENATE(IF(AND(AJ348=0,SUM(AJ30,AJ36,AJ38,AJ40,AJ42,AJ44,AJ46,AJ48,AJ50,AJ52,AJ297,AJ301,AJ305,AJ309)&gt;0)," * This site has positives but none was started on ART"&amp;CHAR(10),""),"")</f>
        <v/>
      </c>
      <c r="AN57" s="355"/>
      <c r="AO57" s="13">
        <v>49</v>
      </c>
      <c r="AP57" s="113"/>
      <c r="AQ57" s="110"/>
    </row>
    <row r="58" spans="1:43" ht="27" thickBot="1" x14ac:dyDescent="0.45">
      <c r="A58" s="1239" t="s">
        <v>1197</v>
      </c>
      <c r="B58" s="1116"/>
      <c r="C58" s="1116"/>
      <c r="D58" s="1116"/>
      <c r="E58" s="1116"/>
      <c r="F58" s="1116"/>
      <c r="G58" s="1116"/>
      <c r="H58" s="1116"/>
      <c r="I58" s="1116"/>
      <c r="J58" s="1116"/>
      <c r="K58" s="1116"/>
      <c r="L58" s="1116"/>
      <c r="M58" s="1116"/>
      <c r="N58" s="1116"/>
      <c r="O58" s="1116"/>
      <c r="P58" s="1116"/>
      <c r="Q58" s="1116"/>
      <c r="R58" s="1116"/>
      <c r="S58" s="1116"/>
      <c r="T58" s="1116"/>
      <c r="U58" s="1116"/>
      <c r="V58" s="1116"/>
      <c r="W58" s="1116"/>
      <c r="X58" s="1116"/>
      <c r="Y58" s="1116"/>
      <c r="Z58" s="1116"/>
      <c r="AA58" s="1116"/>
      <c r="AB58" s="1116"/>
      <c r="AC58" s="1116"/>
      <c r="AD58" s="1116"/>
      <c r="AE58" s="1116"/>
      <c r="AF58" s="1116"/>
      <c r="AG58" s="1116"/>
      <c r="AH58" s="1116"/>
      <c r="AI58" s="1116"/>
      <c r="AJ58" s="1118"/>
      <c r="AK58" s="1116"/>
      <c r="AL58" s="1118"/>
      <c r="AM58" s="1118"/>
      <c r="AN58" s="1119"/>
      <c r="AO58" s="13">
        <v>50</v>
      </c>
      <c r="AP58" s="74"/>
      <c r="AQ58" s="75"/>
    </row>
    <row r="59" spans="1:43" ht="29.25" customHeight="1" x14ac:dyDescent="0.4">
      <c r="A59" s="1136" t="s">
        <v>367</v>
      </c>
      <c r="B59" s="91" t="s">
        <v>146</v>
      </c>
      <c r="C59" s="867" t="s">
        <v>1193</v>
      </c>
      <c r="D59" s="286"/>
      <c r="E59" s="93"/>
      <c r="F59" s="99"/>
      <c r="G59" s="99"/>
      <c r="H59" s="99"/>
      <c r="I59" s="99"/>
      <c r="J59" s="99"/>
      <c r="K59" s="99"/>
      <c r="L59" s="94"/>
      <c r="M59" s="94"/>
      <c r="N59" s="94"/>
      <c r="O59" s="94"/>
      <c r="P59" s="94"/>
      <c r="Q59" s="94"/>
      <c r="R59" s="94"/>
      <c r="S59" s="94"/>
      <c r="T59" s="94"/>
      <c r="U59" s="94"/>
      <c r="V59" s="94"/>
      <c r="W59" s="94"/>
      <c r="X59" s="94"/>
      <c r="Y59" s="94"/>
      <c r="Z59" s="94"/>
      <c r="AA59" s="310"/>
      <c r="AB59" s="375"/>
      <c r="AC59" s="345"/>
      <c r="AD59" s="345"/>
      <c r="AE59" s="345"/>
      <c r="AF59" s="345"/>
      <c r="AG59" s="345"/>
      <c r="AH59" s="345"/>
      <c r="AI59" s="302"/>
      <c r="AJ59" s="627">
        <f t="shared" si="39"/>
        <v>0</v>
      </c>
      <c r="AK59" s="1238" t="str">
        <f>CONCATENATE(IF(D60&gt;D59," * Positive FSW for Age "&amp;D20&amp;" "&amp;D21&amp;" is more than Tested FSW"&amp;CHAR(10),""),IF(E60&gt;E59," * Positive FSW for Age "&amp;D20&amp;" "&amp;E21&amp;" is more than Tested FSW"&amp;CHAR(10),""),IF(F60&gt;F59," * Positive FSW for Age "&amp;F20&amp;" "&amp;F21&amp;" is more than Tested FSW"&amp;CHAR(10),""),IF(G60&gt;G59," * Positive FSW for Age "&amp;F20&amp;" "&amp;G21&amp;" is more than Tested FSW"&amp;CHAR(10),""),IF(H60&gt;H59," * Positive FSW for Age "&amp;H20&amp;" "&amp;H21&amp;" is more than Tested FSW"&amp;CHAR(10),""),IF(I60&gt;I59," * Positive FSW for Age "&amp;H20&amp;" "&amp;I21&amp;" is more than Tested FSW"&amp;CHAR(10),""),IF(J60&gt;J59," * Positive FSW for Age "&amp;J20&amp;" "&amp;J21&amp;" is more than Tested FSW"&amp;CHAR(10),""),IF(K60&gt;K59," * Positive FSW for Age "&amp;J20&amp;" "&amp;K21&amp;" is more than Tested FSW"&amp;CHAR(10),""),IF(L60&gt;L59," * Positive FSW for Age "&amp;L20&amp;" "&amp;L21&amp;" is more than Tested FSW"&amp;CHAR(10),""),IF(M60&gt;M59," * Positive FSW for Age "&amp;L20&amp;" "&amp;M21&amp;" is more than Tested FSW"&amp;CHAR(10),""),IF(N60&gt;N59," * Positive FSW for Age "&amp;N20&amp;" "&amp;N21&amp;" is more than Tested FSW"&amp;CHAR(10),""),IF(O60&gt;O59," * Positive FSW for Age "&amp;N20&amp;" "&amp;O21&amp;" is more than Tested FSW"&amp;CHAR(10),""),IF(P60&gt;P59," * Positive FSW for Age "&amp;P20&amp;" "&amp;P21&amp;" is more than Tested FSW"&amp;CHAR(10),""),IF(Q60&gt;Q59," * Positive FSW for Age "&amp;P20&amp;" "&amp;Q21&amp;" is more than Tested FSW"&amp;CHAR(10),""),IF(R60&gt;R59," * Positive FSW for Age "&amp;R20&amp;" "&amp;R21&amp;" is more than Tested FSW"&amp;CHAR(10),""),IF(S60&gt;S59," * Positive FSW for Age "&amp;R20&amp;" "&amp;S21&amp;" is more than Tested FSW"&amp;CHAR(10),""),IF(T60&gt;T59," * Positive FSW for Age "&amp;T20&amp;" "&amp;T21&amp;" is more than Tested FSW"&amp;CHAR(10),""),IF(U60&gt;U59," * Positive FSW for Age "&amp;T20&amp;" "&amp;U21&amp;" is more than Tested FSW"&amp;CHAR(10),""),IF(V60&gt;V59," * Positive FSW for Age "&amp;V20&amp;" "&amp;V21&amp;" is more than Tested FSW"&amp;CHAR(10),""),IF(W60&gt;W59," * Positive FSW for Age "&amp;V20&amp;" "&amp;W21&amp;" is more than Tested FSW"&amp;CHAR(10),""),IF(X60&gt;X59," * Positive FSW for Age "&amp;X20&amp;" "&amp;X21&amp;" is more than Tested FSW"&amp;CHAR(10),""),IF(Y60&gt;Y59," * Positive FSW for Age "&amp;X20&amp;" "&amp;Y21&amp;" is more than Tested FSW"&amp;CHAR(10),""),IF(Z60&gt;Z59," * Positive FSW for Age "&amp;Z20&amp;" "&amp;Z21&amp;" is more than Tested FSW"&amp;CHAR(10),""),IF(AA60&gt;AA59," * Positive FSW for Age "&amp;Z20&amp;" "&amp;AA21&amp;" is more than Tested FSW"&amp;CHAR(10),""))</f>
        <v/>
      </c>
      <c r="AL59" s="1002"/>
      <c r="AM59" s="31" t="str">
        <f>CONCATENATE(IF(AND(IFERROR((AJ60*100)/AJ59,0)&gt;10,AJ60&gt;5)," * This facility has a high positivity rate for Index Testing. Kindly confirm if this is the true reflection"&amp;CHAR(10),""),"")</f>
        <v/>
      </c>
      <c r="AN59" s="355"/>
      <c r="AO59" s="13">
        <v>44</v>
      </c>
      <c r="AP59" s="74"/>
      <c r="AQ59" s="75"/>
    </row>
    <row r="60" spans="1:43" ht="27" thickBot="1" x14ac:dyDescent="0.45">
      <c r="A60" s="1110"/>
      <c r="B60" s="95" t="s">
        <v>138</v>
      </c>
      <c r="C60" s="868" t="s">
        <v>1194</v>
      </c>
      <c r="D60" s="365"/>
      <c r="E60" s="88"/>
      <c r="F60" s="102"/>
      <c r="G60" s="102"/>
      <c r="H60" s="102"/>
      <c r="I60" s="102"/>
      <c r="J60" s="102"/>
      <c r="K60" s="102"/>
      <c r="L60" s="106"/>
      <c r="M60" s="106"/>
      <c r="N60" s="106"/>
      <c r="O60" s="106"/>
      <c r="P60" s="106"/>
      <c r="Q60" s="106"/>
      <c r="R60" s="106"/>
      <c r="S60" s="106"/>
      <c r="T60" s="106"/>
      <c r="U60" s="106"/>
      <c r="V60" s="106"/>
      <c r="W60" s="106"/>
      <c r="X60" s="106"/>
      <c r="Y60" s="106"/>
      <c r="Z60" s="106"/>
      <c r="AA60" s="316"/>
      <c r="AB60" s="375"/>
      <c r="AC60" s="345"/>
      <c r="AD60" s="345"/>
      <c r="AE60" s="345"/>
      <c r="AF60" s="345"/>
      <c r="AG60" s="345"/>
      <c r="AH60" s="345"/>
      <c r="AI60" s="302"/>
      <c r="AJ60" s="629">
        <f t="shared" si="39"/>
        <v>0</v>
      </c>
      <c r="AK60" s="1238"/>
      <c r="AL60" s="1003"/>
      <c r="AM60" s="31"/>
      <c r="AN60" s="355"/>
      <c r="AO60" s="13">
        <v>45</v>
      </c>
      <c r="AP60" s="74"/>
      <c r="AQ60" s="75"/>
    </row>
    <row r="61" spans="1:43" ht="29.25" customHeight="1" x14ac:dyDescent="0.4">
      <c r="A61" s="1136" t="s">
        <v>365</v>
      </c>
      <c r="B61" s="91" t="s">
        <v>146</v>
      </c>
      <c r="C61" s="867" t="s">
        <v>1195</v>
      </c>
      <c r="D61" s="286"/>
      <c r="E61" s="93"/>
      <c r="F61" s="99"/>
      <c r="G61" s="99"/>
      <c r="H61" s="99"/>
      <c r="I61" s="99"/>
      <c r="J61" s="99"/>
      <c r="K61" s="99"/>
      <c r="L61" s="94"/>
      <c r="M61" s="94"/>
      <c r="N61" s="94"/>
      <c r="O61" s="94"/>
      <c r="P61" s="94"/>
      <c r="Q61" s="94"/>
      <c r="R61" s="94"/>
      <c r="S61" s="94"/>
      <c r="T61" s="94"/>
      <c r="U61" s="94"/>
      <c r="V61" s="94"/>
      <c r="W61" s="94"/>
      <c r="X61" s="94"/>
      <c r="Y61" s="94"/>
      <c r="Z61" s="94"/>
      <c r="AA61" s="310"/>
      <c r="AB61" s="375"/>
      <c r="AC61" s="345"/>
      <c r="AD61" s="345"/>
      <c r="AE61" s="345"/>
      <c r="AF61" s="345"/>
      <c r="AG61" s="345"/>
      <c r="AH61" s="345"/>
      <c r="AI61" s="302"/>
      <c r="AJ61" s="627">
        <f t="shared" si="39"/>
        <v>0</v>
      </c>
      <c r="AK61" s="1238" t="str">
        <f>CONCATENATE(IF(D62&gt;D61," * Positive MSM for Age "&amp;D20&amp;" "&amp;D21&amp;" is more than Tested MSM"&amp;CHAR(10),""),IF(E62&gt;E61," * Positive MSM for Age "&amp;D20&amp;" "&amp;E21&amp;" is more than Tested MSM"&amp;CHAR(10),""),IF(F62&gt;F61," * Positive MSM for Age "&amp;F20&amp;" "&amp;F21&amp;" is more than Tested MSM"&amp;CHAR(10),""),IF(G62&gt;G61," * Positive MSM for Age "&amp;F20&amp;" "&amp;G21&amp;" is more than Tested MSM"&amp;CHAR(10),""),IF(H62&gt;H61," * Positive MSM for Age "&amp;H20&amp;" "&amp;H21&amp;" is more than Tested MSM"&amp;CHAR(10),""),IF(I62&gt;I61," * Positive MSM for Age "&amp;H20&amp;" "&amp;I21&amp;" is more than Tested MSM"&amp;CHAR(10),""),IF(J62&gt;J61," * Positive MSM for Age "&amp;J20&amp;" "&amp;J21&amp;" is more than Tested MSM"&amp;CHAR(10),""),IF(K62&gt;K61," * Positive MSM for Age "&amp;J20&amp;" "&amp;K21&amp;" is more than Tested MSM"&amp;CHAR(10),""),IF(L62&gt;L61," * Positive MSM for Age "&amp;L20&amp;" "&amp;L21&amp;" is more than Tested MSM"&amp;CHAR(10),""),IF(M62&gt;M61," * Positive MSM for Age "&amp;L20&amp;" "&amp;M21&amp;" is more than Tested MSM"&amp;CHAR(10),""),IF(N62&gt;N61," * Positive MSM for Age "&amp;N20&amp;" "&amp;N21&amp;" is more than Tested MSM"&amp;CHAR(10),""),IF(O62&gt;O61," * Positive MSM for Age "&amp;N20&amp;" "&amp;O21&amp;" is more than Tested MSM"&amp;CHAR(10),""),IF(P62&gt;P61," * Positive MSM for Age "&amp;P20&amp;" "&amp;P21&amp;" is more than Tested MSM"&amp;CHAR(10),""),IF(Q62&gt;Q61," * Positive MSM for Age "&amp;P20&amp;" "&amp;Q21&amp;" is more than Tested MSM"&amp;CHAR(10),""),IF(R62&gt;R61," * Positive MSM for Age "&amp;R20&amp;" "&amp;R21&amp;" is more than Tested MSM"&amp;CHAR(10),""),IF(S62&gt;S61," * Positive MSM for Age "&amp;R20&amp;" "&amp;S21&amp;" is more than Tested MSM"&amp;CHAR(10),""),IF(T62&gt;T61," * Positive MSM for Age "&amp;T20&amp;" "&amp;T21&amp;" is more than Tested MSM"&amp;CHAR(10),""),IF(U62&gt;U61," * Positive MSM for Age "&amp;T20&amp;" "&amp;U21&amp;" is more than Tested MSM"&amp;CHAR(10),""),IF(V62&gt;V61," * Positive MSM for Age "&amp;V20&amp;" "&amp;V21&amp;" is more than Tested MSM"&amp;CHAR(10),""),IF(W62&gt;W61," * Positive MSM for Age "&amp;V20&amp;" "&amp;W21&amp;" is more than Tested MSM"&amp;CHAR(10),""),IF(X62&gt;X61," * Positive MSM for Age "&amp;X20&amp;" "&amp;X21&amp;" is more than Tested MSM"&amp;CHAR(10),""),IF(Y62&gt;Y61," * Positive MSM for Age "&amp;X20&amp;" "&amp;Y21&amp;" is more than Tested MSM"&amp;CHAR(10),""),IF(Z62&gt;Z61," * Positive MSM for Age "&amp;Z20&amp;" "&amp;Z21&amp;" is more than Tested MSM"&amp;CHAR(10),""),IF(AA62&gt;AA61," * Positive MSM for Age "&amp;Z20&amp;" "&amp;AA21&amp;" is more than Tested MSM"&amp;CHAR(10),""))</f>
        <v/>
      </c>
      <c r="AL61" s="1003"/>
      <c r="AM61" s="31" t="str">
        <f>CONCATENATE(IF(AND(IFERROR((AJ62*100)/AJ61,0)&gt;10,AJ62&gt;5)," * This facility has a high positivity rate for Index Testing. Kindly confirm if this is the true reflection"&amp;CHAR(10),""),"")</f>
        <v/>
      </c>
      <c r="AN61" s="355"/>
      <c r="AO61" s="13">
        <v>44</v>
      </c>
      <c r="AP61" s="74"/>
      <c r="AQ61" s="75"/>
    </row>
    <row r="62" spans="1:43" ht="27" thickBot="1" x14ac:dyDescent="0.45">
      <c r="A62" s="1110"/>
      <c r="B62" s="95" t="s">
        <v>138</v>
      </c>
      <c r="C62" s="868" t="s">
        <v>1196</v>
      </c>
      <c r="D62" s="365"/>
      <c r="E62" s="88"/>
      <c r="F62" s="102"/>
      <c r="G62" s="102"/>
      <c r="H62" s="102"/>
      <c r="I62" s="102"/>
      <c r="J62" s="102"/>
      <c r="K62" s="102"/>
      <c r="L62" s="106"/>
      <c r="M62" s="106"/>
      <c r="N62" s="106"/>
      <c r="O62" s="106"/>
      <c r="P62" s="106"/>
      <c r="Q62" s="106"/>
      <c r="R62" s="106"/>
      <c r="S62" s="106"/>
      <c r="T62" s="106"/>
      <c r="U62" s="106"/>
      <c r="V62" s="106"/>
      <c r="W62" s="106"/>
      <c r="X62" s="106"/>
      <c r="Y62" s="106"/>
      <c r="Z62" s="106"/>
      <c r="AA62" s="316"/>
      <c r="AB62" s="375"/>
      <c r="AC62" s="345"/>
      <c r="AD62" s="345"/>
      <c r="AE62" s="345"/>
      <c r="AF62" s="345"/>
      <c r="AG62" s="345"/>
      <c r="AH62" s="345"/>
      <c r="AI62" s="302"/>
      <c r="AJ62" s="629">
        <f t="shared" si="39"/>
        <v>0</v>
      </c>
      <c r="AK62" s="1238"/>
      <c r="AL62" s="1004"/>
      <c r="AM62" s="31"/>
      <c r="AN62" s="355"/>
      <c r="AO62" s="13">
        <v>45</v>
      </c>
      <c r="AP62" s="74"/>
      <c r="AQ62" s="75"/>
    </row>
    <row r="63" spans="1:43" ht="27" hidden="1" thickBot="1" x14ac:dyDescent="0.45">
      <c r="A63" s="1120" t="s">
        <v>965</v>
      </c>
      <c r="B63" s="1118"/>
      <c r="C63" s="1116"/>
      <c r="D63" s="1118"/>
      <c r="E63" s="1118"/>
      <c r="F63" s="1118"/>
      <c r="G63" s="1118"/>
      <c r="H63" s="1118"/>
      <c r="I63" s="1118"/>
      <c r="J63" s="1118"/>
      <c r="K63" s="1118"/>
      <c r="L63" s="1118"/>
      <c r="M63" s="1118"/>
      <c r="N63" s="1118"/>
      <c r="O63" s="1118"/>
      <c r="P63" s="1118"/>
      <c r="Q63" s="1118"/>
      <c r="R63" s="1118"/>
      <c r="S63" s="1118"/>
      <c r="T63" s="1118"/>
      <c r="U63" s="1118"/>
      <c r="V63" s="1118"/>
      <c r="W63" s="1118"/>
      <c r="X63" s="1118"/>
      <c r="Y63" s="1118"/>
      <c r="Z63" s="1118"/>
      <c r="AA63" s="1118"/>
      <c r="AB63" s="1116"/>
      <c r="AC63" s="1116"/>
      <c r="AD63" s="1116"/>
      <c r="AE63" s="1116"/>
      <c r="AF63" s="1116"/>
      <c r="AG63" s="1116"/>
      <c r="AH63" s="1116"/>
      <c r="AI63" s="1116"/>
      <c r="AJ63" s="1118"/>
      <c r="AK63" s="1116"/>
      <c r="AL63" s="1118"/>
      <c r="AM63" s="1118"/>
      <c r="AN63" s="1119"/>
      <c r="AO63" s="13">
        <v>50</v>
      </c>
      <c r="AP63" s="74"/>
      <c r="AQ63" s="75"/>
    </row>
    <row r="64" spans="1:43" ht="26.25" hidden="1" customHeight="1" x14ac:dyDescent="0.4">
      <c r="A64" s="1164" t="s">
        <v>36</v>
      </c>
      <c r="B64" s="1160" t="s">
        <v>321</v>
      </c>
      <c r="C64" s="1162" t="s">
        <v>305</v>
      </c>
      <c r="D64" s="1139"/>
      <c r="E64" s="1139"/>
      <c r="F64" s="1139"/>
      <c r="G64" s="1139"/>
      <c r="H64" s="1139"/>
      <c r="I64" s="1139"/>
      <c r="J64" s="1139"/>
      <c r="K64" s="1139"/>
      <c r="L64" s="1139" t="s">
        <v>4</v>
      </c>
      <c r="M64" s="1139"/>
      <c r="N64" s="1139" t="s">
        <v>5</v>
      </c>
      <c r="O64" s="1139"/>
      <c r="P64" s="1139" t="s">
        <v>6</v>
      </c>
      <c r="Q64" s="1139"/>
      <c r="R64" s="1139" t="s">
        <v>7</v>
      </c>
      <c r="S64" s="1139"/>
      <c r="T64" s="1139" t="s">
        <v>8</v>
      </c>
      <c r="U64" s="1139"/>
      <c r="V64" s="1139" t="s">
        <v>23</v>
      </c>
      <c r="W64" s="1139"/>
      <c r="X64" s="1139" t="s">
        <v>24</v>
      </c>
      <c r="Y64" s="1139"/>
      <c r="Z64" s="1139" t="s">
        <v>9</v>
      </c>
      <c r="AA64" s="1140"/>
      <c r="AB64" s="1144"/>
      <c r="AC64" s="1145"/>
      <c r="AD64" s="1145"/>
      <c r="AE64" s="1145"/>
      <c r="AF64" s="1145"/>
      <c r="AG64" s="1145"/>
      <c r="AH64" s="1145"/>
      <c r="AI64" s="1404"/>
      <c r="AJ64" s="1152" t="s">
        <v>19</v>
      </c>
      <c r="AK64" s="1154" t="s">
        <v>354</v>
      </c>
      <c r="AL64" s="1137" t="s">
        <v>360</v>
      </c>
      <c r="AM64" s="1132" t="s">
        <v>361</v>
      </c>
      <c r="AN64" s="1127" t="s">
        <v>361</v>
      </c>
      <c r="AO64" s="13">
        <v>98</v>
      </c>
      <c r="AP64" s="74"/>
      <c r="AQ64" s="75"/>
    </row>
    <row r="65" spans="1:43" ht="27" hidden="1" customHeight="1" thickBot="1" x14ac:dyDescent="0.45">
      <c r="A65" s="1165"/>
      <c r="B65" s="1161"/>
      <c r="C65" s="1163"/>
      <c r="D65" s="68"/>
      <c r="E65" s="68"/>
      <c r="F65" s="68"/>
      <c r="G65" s="68"/>
      <c r="H65" s="68"/>
      <c r="I65" s="68"/>
      <c r="J65" s="68"/>
      <c r="K65" s="68"/>
      <c r="L65" s="68" t="s">
        <v>10</v>
      </c>
      <c r="M65" s="68" t="s">
        <v>11</v>
      </c>
      <c r="N65" s="68" t="s">
        <v>10</v>
      </c>
      <c r="O65" s="68" t="s">
        <v>11</v>
      </c>
      <c r="P65" s="68" t="s">
        <v>10</v>
      </c>
      <c r="Q65" s="68" t="s">
        <v>11</v>
      </c>
      <c r="R65" s="68" t="s">
        <v>10</v>
      </c>
      <c r="S65" s="68" t="s">
        <v>11</v>
      </c>
      <c r="T65" s="68" t="s">
        <v>10</v>
      </c>
      <c r="U65" s="68" t="s">
        <v>11</v>
      </c>
      <c r="V65" s="68" t="s">
        <v>10</v>
      </c>
      <c r="W65" s="68" t="s">
        <v>11</v>
      </c>
      <c r="X65" s="68" t="s">
        <v>10</v>
      </c>
      <c r="Y65" s="68" t="s">
        <v>11</v>
      </c>
      <c r="Z65" s="68" t="s">
        <v>10</v>
      </c>
      <c r="AA65" s="357" t="s">
        <v>11</v>
      </c>
      <c r="AB65" s="371"/>
      <c r="AC65" s="358"/>
      <c r="AD65" s="358"/>
      <c r="AE65" s="358"/>
      <c r="AF65" s="358"/>
      <c r="AG65" s="358"/>
      <c r="AH65" s="358"/>
      <c r="AI65" s="372"/>
      <c r="AJ65" s="1153"/>
      <c r="AK65" s="1155"/>
      <c r="AL65" s="1180"/>
      <c r="AM65" s="1132"/>
      <c r="AN65" s="1128"/>
      <c r="AO65" s="13">
        <v>99</v>
      </c>
      <c r="AP65" s="74"/>
      <c r="AQ65" s="75"/>
    </row>
    <row r="66" spans="1:43" s="83" customFormat="1" ht="25.5" hidden="1" customHeight="1" x14ac:dyDescent="0.4">
      <c r="A66" s="1264" t="s">
        <v>978</v>
      </c>
      <c r="B66" s="1" t="s">
        <v>1132</v>
      </c>
      <c r="C66" s="562" t="s">
        <v>966</v>
      </c>
      <c r="D66" s="134"/>
      <c r="E66" s="99"/>
      <c r="F66" s="99"/>
      <c r="G66" s="99"/>
      <c r="H66" s="99"/>
      <c r="I66" s="99"/>
      <c r="J66" s="99"/>
      <c r="K66" s="363"/>
      <c r="L66" s="236"/>
      <c r="M66" s="236"/>
      <c r="N66" s="236"/>
      <c r="O66" s="236"/>
      <c r="P66" s="236"/>
      <c r="Q66" s="236"/>
      <c r="R66" s="236"/>
      <c r="S66" s="236"/>
      <c r="T66" s="236"/>
      <c r="U66" s="236"/>
      <c r="V66" s="236"/>
      <c r="W66" s="236"/>
      <c r="X66" s="236"/>
      <c r="Y66" s="236"/>
      <c r="Z66" s="236"/>
      <c r="AA66" s="236"/>
      <c r="AB66" s="373"/>
      <c r="AC66" s="374"/>
      <c r="AD66" s="374"/>
      <c r="AE66" s="374"/>
      <c r="AF66" s="374"/>
      <c r="AG66" s="374"/>
      <c r="AH66" s="374"/>
      <c r="AI66" s="305"/>
      <c r="AJ66" s="188">
        <f t="shared" ref="AJ66:AJ107" si="41">SUM(D66:AA66)</f>
        <v>0</v>
      </c>
      <c r="AK66" s="30" t="str">
        <f>CONCATENATE(IF(D68&gt;D66," * RITA RECENT Index Testing"&amp;$D$20&amp;" "&amp;$D$21&amp;" is more than RTRI RECENT Index Testing"&amp;CHAR(10),""),IF(E68&gt;E66," * RITA RECENT Index Testing"&amp;$D$20&amp;" "&amp;$E$21&amp;" is more than RTRI RECENT Index Testing"&amp;CHAR(10),""),IF(F68&gt;F66," * RITA RECENT Index Testing"&amp;$F$20&amp;" "&amp;$F$21&amp;" is more than RTRI RECENT Index Testing"&amp;CHAR(10),""),IF(G68&gt;G66," * RITA RECENT Index Testing"&amp;$F$20&amp;" "&amp;$G$21&amp;" is more than RTRI RECENT Index Testing"&amp;CHAR(10),""),IF(H68&gt;H66," * RITA RECENT Index Testing"&amp;$H$20&amp;" "&amp;$H$21&amp;" is more than RTRI RECENT Index Testing"&amp;CHAR(10),""),IF(I68&gt;I66," * RITA RECENT Index Testing"&amp;$H$20&amp;" "&amp;$I$21&amp;" is more than RTRI RECENT Index Testing"&amp;CHAR(10),""),IF(J68&gt;J66," * RITA RECENT Index Testing"&amp;$J$20&amp;" "&amp;$J$21&amp;" is more than RTRI RECENT Index Testing"&amp;CHAR(10),""),IF(K68&gt;K66," * RITA RECENT Index Testing"&amp;$J$20&amp;" "&amp;$K$21&amp;" is more than RTRI RECENT Index Testing"&amp;CHAR(10),""),IF(L68&gt;L66," * RITA RECENT Index Testing"&amp;$L$20&amp;" "&amp;$L$21&amp;" is more than RTRI RECENT Index Testing"&amp;CHAR(10),""),IF(M68&gt;M66," * RITA RECENT Index Testing"&amp;$L$20&amp;" "&amp;$M$21&amp;" is more than RTRI RECENT Index Testing"&amp;CHAR(10),""),IF(N68&gt;N66," * RITA RECENT Index Testing"&amp;$N$20&amp;" "&amp;$N$21&amp;" is more than RTRI RECENT Index Testing"&amp;CHAR(10),""),IF(O68&gt;O66," * RITA RECENT Index Testing"&amp;$N$20&amp;" "&amp;$O$21&amp;" is more than RTRI RECENT Index Testing"&amp;CHAR(10),""),IF(P68&gt;P66," * RITA RECENT Index Testing"&amp;$P$20&amp;" "&amp;$P$21&amp;" is more than RTRI RECENT Index Testing"&amp;CHAR(10),""),IF(Q68&gt;Q66," * RITA RECENT Index Testing"&amp;$P$20&amp;" "&amp;$Q$21&amp;" is more than RTRI RECENT Index Testing"&amp;CHAR(10),""),IF(R68&gt;R66," * RITA RECENT Index Testing"&amp;$R$20&amp;" "&amp;$R$21&amp;" is more than RTRI RECENT Index Testing"&amp;CHAR(10),""),IF(S68&gt;S66," * RITA RECENT Index Testing"&amp;$R$20&amp;" "&amp;$S$21&amp;" is more than RTRI RECENT Index Testing"&amp;CHAR(10),""),IF(T68&gt;T66," * RITA RECENT Index Testing"&amp;$T$20&amp;" "&amp;$T$21&amp;" is more than RTRI RECENT Index Testing"&amp;CHAR(10),""),IF(U68&gt;U66," * RITA RECENT Index Testing"&amp;$T$20&amp;" "&amp;$U$21&amp;" is more than RTRI RECENT Index Testing"&amp;CHAR(10),""),IF(V68&gt;V66," * RITA RECENT Index Testing"&amp;$V$20&amp;" "&amp;$V$21&amp;" is more than RTRI RECENT Index Testing"&amp;CHAR(10),""),IF(W68&gt;W66," * RITA RECENT Index Testing"&amp;$V$20&amp;" "&amp;$W$21&amp;" is more than RTRI RECENT Index Testing"&amp;CHAR(10),""),IF(X68&gt;X66," * RITA RECENT Index Testing"&amp;$X$20&amp;" "&amp;$X$21&amp;" is more than RTRI RECENT Index Testing"&amp;CHAR(10),""),IF(Y68&gt;Y66," * RITA RECENT Index Testing"&amp;$X$20&amp;" "&amp;$Y$21&amp;" is more than RTRI RECENT Index Testing"&amp;CHAR(10),""),IF(Z68&gt;Z66," * RITA RECENT Index Testing"&amp;$Z$20&amp;" "&amp;$Z$21&amp;" is more than RTRI RECENT Index Testing"&amp;CHAR(10),""),IF(AA68&gt;AA66," * RITA RECENT Index Testing"&amp;$Z$20&amp;" "&amp;$AA$21&amp;" is more than RTRI RECENT Index Testing"&amp;CHAR(10),""))</f>
        <v/>
      </c>
      <c r="AL66" s="1176" t="str">
        <f>CONCATENATE(AK66,AK67,AK68,AK69,AK70,AK71,AK72,AK73,AK74,AK75,AK76,AK77,AK78,AK79,AK80,AK81,AK82,AK83,AK84,AK85,AK86,AK87,AK88,AK89,AK90,AK91,AK92,AK93,AK94,AK95,AK96,AK97,AK98,AK99,AK100,AK101,AK102,AK103,AK104,AK105)</f>
        <v/>
      </c>
      <c r="AM66" s="31"/>
      <c r="AN66" s="355"/>
      <c r="AO66" s="13">
        <v>30</v>
      </c>
      <c r="AP66" s="81"/>
      <c r="AQ66" s="82"/>
    </row>
    <row r="67" spans="1:43" s="83" customFormat="1" ht="27" hidden="1" thickBot="1" x14ac:dyDescent="0.45">
      <c r="A67" s="1265"/>
      <c r="B67" s="356" t="s">
        <v>1133</v>
      </c>
      <c r="C67" s="563" t="s">
        <v>967</v>
      </c>
      <c r="D67" s="119"/>
      <c r="E67" s="102"/>
      <c r="F67" s="102"/>
      <c r="G67" s="102"/>
      <c r="H67" s="102"/>
      <c r="I67" s="102"/>
      <c r="J67" s="102"/>
      <c r="K67" s="364"/>
      <c r="L67" s="141"/>
      <c r="M67" s="141"/>
      <c r="N67" s="141"/>
      <c r="O67" s="141"/>
      <c r="P67" s="141"/>
      <c r="Q67" s="141"/>
      <c r="R67" s="141"/>
      <c r="S67" s="141"/>
      <c r="T67" s="141"/>
      <c r="U67" s="141"/>
      <c r="V67" s="141"/>
      <c r="W67" s="141"/>
      <c r="X67" s="141"/>
      <c r="Y67" s="141"/>
      <c r="Z67" s="141"/>
      <c r="AA67" s="141"/>
      <c r="AB67" s="375"/>
      <c r="AC67" s="345"/>
      <c r="AD67" s="345"/>
      <c r="AE67" s="345"/>
      <c r="AF67" s="345"/>
      <c r="AG67" s="345"/>
      <c r="AH67" s="345"/>
      <c r="AI67" s="302"/>
      <c r="AJ67" s="192">
        <f t="shared" si="41"/>
        <v>0</v>
      </c>
      <c r="AK67" s="30" t="str">
        <f>CONCATENATE(IF(D69&gt;D67," * RITA Long-Term Index Testing"&amp;$D$20&amp;" "&amp;$D$21&amp;" is more than RTRI Long-Term Index Testing"&amp;CHAR(10),""),IF(E69&gt;E67," * RITA Long-Term Index Testing"&amp;$D$20&amp;" "&amp;$E$21&amp;" is more than RTRI Long-Term Index Testing"&amp;CHAR(10),""),IF(F69&gt;F67," * RITA Long-Term Index Testing"&amp;$F$20&amp;" "&amp;$F$21&amp;" is more than RTRI Long-Term Index Testing"&amp;CHAR(10),""),IF(G69&gt;G67," * RITA Long-Term Index Testing"&amp;$F$20&amp;" "&amp;$G$21&amp;" is more than RTRI Long-Term Index Testing"&amp;CHAR(10),""),IF(H69&gt;H67," * RITA Long-Term Index Testing"&amp;$H$20&amp;" "&amp;$H$21&amp;" is more than RTRI Long-Term Index Testing"&amp;CHAR(10),""),IF(I69&gt;I67," * RITA Long-Term Index Testing"&amp;$H$20&amp;" "&amp;$I$21&amp;" is more than RTRI Long-Term Index Testing"&amp;CHAR(10),""),IF(J69&gt;J67," * RITA Long-Term Index Testing"&amp;$J$20&amp;" "&amp;$J$21&amp;" is more than RTRI Long-Term Index Testing"&amp;CHAR(10),""),IF(K69&gt;K67," * RITA Long-Term Index Testing"&amp;$J$20&amp;" "&amp;$K$21&amp;" is more than RTRI Long-Term Index Testing"&amp;CHAR(10),""),IF(L69&gt;L67," * RITA Long-Term Index Testing"&amp;$L$20&amp;" "&amp;$L$21&amp;" is more than RTRI Long-Term Index Testing"&amp;CHAR(10),""),IF(M69&gt;M67," * RITA Long-Term Index Testing"&amp;$L$20&amp;" "&amp;$M$21&amp;" is more than RTRI Long-Term Index Testing"&amp;CHAR(10),""),IF(N69&gt;N67," * RITA Long-Term Index Testing"&amp;$N$20&amp;" "&amp;$N$21&amp;" is more than RTRI Long-Term Index Testing"&amp;CHAR(10),""),IF(O69&gt;O67," * RITA Long-Term Index Testing"&amp;$N$20&amp;" "&amp;$O$21&amp;" is more than RTRI Long-Term Index Testing"&amp;CHAR(10),""),IF(P69&gt;P67," * RITA Long-Term Index Testing"&amp;$P$20&amp;" "&amp;$P$21&amp;" is more than RTRI Long-Term Index Testing"&amp;CHAR(10),""),IF(Q69&gt;Q67," * RITA Long-Term Index Testing"&amp;$P$20&amp;" "&amp;$Q$21&amp;" is more than RTRI Long-Term Index Testing"&amp;CHAR(10),""),IF(R69&gt;R67," * RITA Long-Term Index Testing"&amp;$R$20&amp;" "&amp;$R$21&amp;" is more than RTRI Long-Term Index Testing"&amp;CHAR(10),""),IF(S69&gt;S67," * RITA Long-Term Index Testing"&amp;$R$20&amp;" "&amp;$S$21&amp;" is more than RTRI Long-Term Index Testing"&amp;CHAR(10),""),IF(T69&gt;T67," * RITA Long-Term Index Testing"&amp;$T$20&amp;" "&amp;$T$21&amp;" is more than RTRI Long-Term Index Testing"&amp;CHAR(10),""),IF(U69&gt;U67," * RITA Long-Term Index Testing"&amp;$T$20&amp;" "&amp;$U$21&amp;" is more than RTRI Long-Term Index Testing"&amp;CHAR(10),""),IF(V69&gt;V67," * RITA Long-Term Index Testing"&amp;$V$20&amp;" "&amp;$V$21&amp;" is more than RTRI Long-Term Index Testing"&amp;CHAR(10),""),IF(W69&gt;W67," * RITA Long-Term Index Testing"&amp;$V$20&amp;" "&amp;$W$21&amp;" is more than RTRI Long-Term Index Testing"&amp;CHAR(10),""),IF(X69&gt;X67," * RITA Long-Term Index Testing"&amp;$X$20&amp;" "&amp;$X$21&amp;" is more than RTRI Long-Term Index Testing"&amp;CHAR(10),""),IF(Y69&gt;Y67," * RITA Long-Term Index Testing"&amp;$X$20&amp;" "&amp;$Y$21&amp;" is more than RTRI Long-Term Index Testing"&amp;CHAR(10),""),IF(Z69&gt;Z67," * RITA Long-Term Index Testing"&amp;$Z$20&amp;" "&amp;$Z$21&amp;" is more than RTRI Long-Term Index Testing"&amp;CHAR(10),""),IF(AA69&gt;AA67," * RITA Long-Term Index Testing"&amp;$Z$20&amp;" "&amp;$AA$21&amp;" is more than RTRI Long-Term Index Testing"&amp;CHAR(10),""))</f>
        <v/>
      </c>
      <c r="AL67" s="1177"/>
      <c r="AM67" s="31"/>
      <c r="AN67" s="355"/>
      <c r="AO67" s="13">
        <v>31</v>
      </c>
      <c r="AP67" s="81"/>
      <c r="AQ67" s="82"/>
    </row>
    <row r="68" spans="1:43" s="83" customFormat="1" ht="25.5" hidden="1" customHeight="1" x14ac:dyDescent="0.4">
      <c r="A68" s="1265"/>
      <c r="B68" s="1" t="s">
        <v>1134</v>
      </c>
      <c r="C68" s="562" t="s">
        <v>1136</v>
      </c>
      <c r="D68" s="134"/>
      <c r="E68" s="99"/>
      <c r="F68" s="99"/>
      <c r="G68" s="99"/>
      <c r="H68" s="99"/>
      <c r="I68" s="99"/>
      <c r="J68" s="99"/>
      <c r="K68" s="363"/>
      <c r="L68" s="236"/>
      <c r="M68" s="236"/>
      <c r="N68" s="236"/>
      <c r="O68" s="236"/>
      <c r="P68" s="236"/>
      <c r="Q68" s="236"/>
      <c r="R68" s="236"/>
      <c r="S68" s="236"/>
      <c r="T68" s="236"/>
      <c r="U68" s="236"/>
      <c r="V68" s="236"/>
      <c r="W68" s="236"/>
      <c r="X68" s="236"/>
      <c r="Y68" s="236"/>
      <c r="Z68" s="236"/>
      <c r="AA68" s="236"/>
      <c r="AB68" s="373"/>
      <c r="AC68" s="374"/>
      <c r="AD68" s="374"/>
      <c r="AE68" s="374"/>
      <c r="AF68" s="374"/>
      <c r="AG68" s="374"/>
      <c r="AH68" s="374"/>
      <c r="AI68" s="305"/>
      <c r="AJ68" s="188">
        <f t="shared" ref="AJ68:AJ69" si="42">SUM(D68:AA68)</f>
        <v>0</v>
      </c>
      <c r="AK68" s="30"/>
      <c r="AL68" s="1177"/>
      <c r="AM68" s="31"/>
      <c r="AN68" s="355"/>
      <c r="AO68" s="13">
        <v>30</v>
      </c>
      <c r="AP68" s="81"/>
      <c r="AQ68" s="82"/>
    </row>
    <row r="69" spans="1:43" s="83" customFormat="1" ht="27" hidden="1" thickBot="1" x14ac:dyDescent="0.45">
      <c r="A69" s="1266"/>
      <c r="B69" s="356" t="s">
        <v>1135</v>
      </c>
      <c r="C69" s="564" t="s">
        <v>1137</v>
      </c>
      <c r="D69" s="492"/>
      <c r="E69" s="120"/>
      <c r="F69" s="120"/>
      <c r="G69" s="120"/>
      <c r="H69" s="120"/>
      <c r="I69" s="120"/>
      <c r="J69" s="120"/>
      <c r="K69" s="394"/>
      <c r="L69" s="248"/>
      <c r="M69" s="248"/>
      <c r="N69" s="248"/>
      <c r="O69" s="248"/>
      <c r="P69" s="248"/>
      <c r="Q69" s="248"/>
      <c r="R69" s="248"/>
      <c r="S69" s="248"/>
      <c r="T69" s="248"/>
      <c r="U69" s="248"/>
      <c r="V69" s="248"/>
      <c r="W69" s="248"/>
      <c r="X69" s="248"/>
      <c r="Y69" s="248"/>
      <c r="Z69" s="248"/>
      <c r="AA69" s="248"/>
      <c r="AB69" s="375"/>
      <c r="AC69" s="345"/>
      <c r="AD69" s="345"/>
      <c r="AE69" s="345"/>
      <c r="AF69" s="345"/>
      <c r="AG69" s="345"/>
      <c r="AH69" s="345"/>
      <c r="AI69" s="302"/>
      <c r="AJ69" s="192">
        <f t="shared" si="42"/>
        <v>0</v>
      </c>
      <c r="AK69" s="30"/>
      <c r="AL69" s="1177"/>
      <c r="AM69" s="31"/>
      <c r="AN69" s="355"/>
      <c r="AO69" s="13">
        <v>31</v>
      </c>
      <c r="AP69" s="81"/>
      <c r="AQ69" s="82"/>
    </row>
    <row r="70" spans="1:43" s="83" customFormat="1" ht="25.5" hidden="1" customHeight="1" x14ac:dyDescent="0.4">
      <c r="A70" s="1156" t="s">
        <v>979</v>
      </c>
      <c r="B70" s="1" t="s">
        <v>1132</v>
      </c>
      <c r="C70" s="562" t="s">
        <v>968</v>
      </c>
      <c r="D70" s="134"/>
      <c r="E70" s="99"/>
      <c r="F70" s="99"/>
      <c r="G70" s="99"/>
      <c r="H70" s="99"/>
      <c r="I70" s="99"/>
      <c r="J70" s="99"/>
      <c r="K70" s="363"/>
      <c r="L70" s="236"/>
      <c r="M70" s="236"/>
      <c r="N70" s="236"/>
      <c r="O70" s="236"/>
      <c r="P70" s="236"/>
      <c r="Q70" s="236"/>
      <c r="R70" s="236"/>
      <c r="S70" s="236"/>
      <c r="T70" s="236"/>
      <c r="U70" s="236"/>
      <c r="V70" s="236"/>
      <c r="W70" s="236"/>
      <c r="X70" s="236"/>
      <c r="Y70" s="236"/>
      <c r="Z70" s="236"/>
      <c r="AA70" s="236"/>
      <c r="AB70" s="375"/>
      <c r="AC70" s="345"/>
      <c r="AD70" s="345"/>
      <c r="AE70" s="345"/>
      <c r="AF70" s="345"/>
      <c r="AG70" s="345"/>
      <c r="AH70" s="345"/>
      <c r="AI70" s="302"/>
      <c r="AJ70" s="188">
        <f t="shared" si="41"/>
        <v>0</v>
      </c>
      <c r="AK70" s="30" t="str">
        <f>CONCATENATE(IF(D72&gt;D70," * RITA RECENT Emergency Ward"&amp;$D$20&amp;" "&amp;$D$21&amp;" is more than RTRI RECENT Emergency Ward"&amp;CHAR(10),""),IF(E72&gt;E70," * RITA RECENT Emergency Ward"&amp;$D$20&amp;" "&amp;$E$21&amp;" is more than RTRI RECENT Emergency Ward"&amp;CHAR(10),""),IF(F72&gt;F70," * RITA RECENT Emergency Ward"&amp;$F$20&amp;" "&amp;$F$21&amp;" is more than RTRI RECENT Emergency Ward"&amp;CHAR(10),""),IF(G72&gt;G70," * RITA RECENT Emergency Ward"&amp;$F$20&amp;" "&amp;$G$21&amp;" is more than RTRI RECENT Emergency Ward"&amp;CHAR(10),""),IF(H72&gt;H70," * RITA RECENT Emergency Ward"&amp;$H$20&amp;" "&amp;$H$21&amp;" is more than RTRI RECENT Emergency Ward"&amp;CHAR(10),""),IF(I72&gt;I70," * RITA RECENT Emergency Ward"&amp;$H$20&amp;" "&amp;$I$21&amp;" is more than RTRI RECENT Emergency Ward"&amp;CHAR(10),""),IF(J72&gt;J70," * RITA RECENT Emergency Ward"&amp;$J$20&amp;" "&amp;$J$21&amp;" is more than RTRI RECENT Emergency Ward"&amp;CHAR(10),""),IF(K72&gt;K70," * RITA RECENT Emergency Ward"&amp;$J$20&amp;" "&amp;$K$21&amp;" is more than RTRI RECENT Emergency Ward"&amp;CHAR(10),""),IF(L72&gt;L70," * RITA RECENT Emergency Ward"&amp;$L$20&amp;" "&amp;$L$21&amp;" is more than RTRI RECENT Emergency Ward"&amp;CHAR(10),""),IF(M72&gt;M70," * RITA RECENT Emergency Ward"&amp;$L$20&amp;" "&amp;$M$21&amp;" is more than RTRI RECENT Emergency Ward"&amp;CHAR(10),""),IF(N72&gt;N70," * RITA RECENT Emergency Ward"&amp;$N$20&amp;" "&amp;$N$21&amp;" is more than RTRI RECENT Emergency Ward"&amp;CHAR(10),""),IF(O72&gt;O70," * RITA RECENT Emergency Ward"&amp;$N$20&amp;" "&amp;$O$21&amp;" is more than RTRI RECENT Emergency Ward"&amp;CHAR(10),""),IF(P72&gt;P70," * RITA RECENT Emergency Ward"&amp;$P$20&amp;" "&amp;$P$21&amp;" is more than RTRI RECENT Emergency Ward"&amp;CHAR(10),""),IF(Q72&gt;Q70," * RITA RECENT Emergency Ward"&amp;$P$20&amp;" "&amp;$Q$21&amp;" is more than RTRI RECENT Emergency Ward"&amp;CHAR(10),""),IF(R72&gt;R70," * RITA RECENT Emergency Ward"&amp;$R$20&amp;" "&amp;$R$21&amp;" is more than RTRI RECENT Emergency Ward"&amp;CHAR(10),""),IF(S72&gt;S70," * RITA RECENT Emergency Ward"&amp;$R$20&amp;" "&amp;$S$21&amp;" is more than RTRI RECENT Emergency Ward"&amp;CHAR(10),""),IF(T72&gt;T70," * RITA RECENT Emergency Ward"&amp;$T$20&amp;" "&amp;$T$21&amp;" is more than RTRI RECENT Emergency Ward"&amp;CHAR(10),""),IF(U72&gt;U70," * RITA RECENT Emergency Ward"&amp;$T$20&amp;" "&amp;$U$21&amp;" is more than RTRI RECENT Emergency Ward"&amp;CHAR(10),""),IF(V72&gt;V70," * RITA RECENT Emergency Ward"&amp;$V$20&amp;" "&amp;$V$21&amp;" is more than RTRI RECENT Emergency Ward"&amp;CHAR(10),""),IF(W72&gt;W70," * RITA RECENT Emergency Ward"&amp;$V$20&amp;" "&amp;$W$21&amp;" is more than RTRI RECENT Emergency Ward"&amp;CHAR(10),""),IF(X72&gt;X70," * RITA RECENT Emergency Ward"&amp;$X$20&amp;" "&amp;$X$21&amp;" is more than RTRI RECENT Emergency Ward"&amp;CHAR(10),""),IF(Y72&gt;Y70," * RITA RECENT Emergency Ward"&amp;$X$20&amp;" "&amp;$Y$21&amp;" is more than RTRI RECENT Emergency Ward"&amp;CHAR(10),""),IF(Z72&gt;Z70," * RITA RECENT Emergency Ward"&amp;$Z$20&amp;" "&amp;$Z$21&amp;" is more than RTRI RECENT Emergency Ward"&amp;CHAR(10),""),IF(AA72&gt;AA70," * RITA RECENT Emergency Ward"&amp;$Z$20&amp;" "&amp;$AA$21&amp;" is more than RTRI RECENT Emergency Ward"&amp;CHAR(10),""))</f>
        <v/>
      </c>
      <c r="AL70" s="1177"/>
      <c r="AM70" s="31"/>
      <c r="AN70" s="355"/>
      <c r="AO70" s="13">
        <v>32</v>
      </c>
      <c r="AP70" s="81"/>
      <c r="AQ70" s="82"/>
    </row>
    <row r="71" spans="1:43" s="83" customFormat="1" ht="27" hidden="1" thickBot="1" x14ac:dyDescent="0.45">
      <c r="A71" s="1157"/>
      <c r="B71" s="356" t="s">
        <v>1133</v>
      </c>
      <c r="C71" s="563" t="s">
        <v>969</v>
      </c>
      <c r="D71" s="135"/>
      <c r="E71" s="78"/>
      <c r="F71" s="78"/>
      <c r="G71" s="78"/>
      <c r="H71" s="78"/>
      <c r="I71" s="78"/>
      <c r="J71" s="78"/>
      <c r="K71" s="370"/>
      <c r="L71" s="141"/>
      <c r="M71" s="141"/>
      <c r="N71" s="141"/>
      <c r="O71" s="141"/>
      <c r="P71" s="141"/>
      <c r="Q71" s="141"/>
      <c r="R71" s="141"/>
      <c r="S71" s="141"/>
      <c r="T71" s="141"/>
      <c r="U71" s="141"/>
      <c r="V71" s="141"/>
      <c r="W71" s="141"/>
      <c r="X71" s="141"/>
      <c r="Y71" s="141"/>
      <c r="Z71" s="141"/>
      <c r="AA71" s="141"/>
      <c r="AB71" s="375"/>
      <c r="AC71" s="345"/>
      <c r="AD71" s="345"/>
      <c r="AE71" s="345"/>
      <c r="AF71" s="345"/>
      <c r="AG71" s="345"/>
      <c r="AH71" s="345"/>
      <c r="AI71" s="302"/>
      <c r="AJ71" s="192">
        <f t="shared" si="41"/>
        <v>0</v>
      </c>
      <c r="AK71" s="30" t="str">
        <f>CONCATENATE(IF(D73&gt;D71," * RITA Long-Term Emergency Ward "&amp;$D$20&amp;" "&amp;$D$21&amp;" is more than RTRI Long-Term Emergency Ward "&amp;CHAR(10),""),IF(E73&gt;E71," * RITA Long-Term Emergency Ward "&amp;$D$20&amp;" "&amp;$E$21&amp;" is more than RTRI Long-Term Emergency Ward "&amp;CHAR(10),""),IF(F73&gt;F71," * RITA Long-Term Emergency Ward "&amp;$F$20&amp;" "&amp;$F$21&amp;" is more than RTRI Long-Term Emergency Ward "&amp;CHAR(10),""),IF(G73&gt;G71," * RITA Long-Term Emergency Ward "&amp;$F$20&amp;" "&amp;$G$21&amp;" is more than RTRI Long-Term Emergency Ward "&amp;CHAR(10),""),IF(H73&gt;H71," * RITA Long-Term Emergency Ward "&amp;$H$20&amp;" "&amp;$H$21&amp;" is more than RTRI Long-Term Emergency Ward "&amp;CHAR(10),""),IF(I73&gt;I71," * RITA Long-Term Emergency Ward "&amp;$H$20&amp;" "&amp;$I$21&amp;" is more than RTRI Long-Term Emergency Ward "&amp;CHAR(10),""),IF(J73&gt;J71," * RITA Long-Term Emergency Ward "&amp;$J$20&amp;" "&amp;$J$21&amp;" is more than RTRI Long-Term Emergency Ward "&amp;CHAR(10),""),IF(K73&gt;K71," * RITA Long-Term Emergency Ward "&amp;$J$20&amp;" "&amp;$K$21&amp;" is more than RTRI Long-Term Emergency Ward "&amp;CHAR(10),""),IF(L73&gt;L71," * RITA Long-Term Emergency Ward "&amp;$L$20&amp;" "&amp;$L$21&amp;" is more than RTRI Long-Term Emergency Ward "&amp;CHAR(10),""),IF(M73&gt;M71," * RITA Long-Term Emergency Ward "&amp;$L$20&amp;" "&amp;$M$21&amp;" is more than RTRI Long-Term Emergency Ward "&amp;CHAR(10),""),IF(N73&gt;N71," * RITA Long-Term Emergency Ward "&amp;$N$20&amp;" "&amp;$N$21&amp;" is more than RTRI Long-Term Emergency Ward "&amp;CHAR(10),""),IF(O73&gt;O71," * RITA Long-Term Emergency Ward "&amp;$N$20&amp;" "&amp;$O$21&amp;" is more than RTRI Long-Term Emergency Ward "&amp;CHAR(10),""),IF(P73&gt;P71," * RITA Long-Term Emergency Ward "&amp;$P$20&amp;" "&amp;$P$21&amp;" is more than RTRI Long-Term Emergency Ward "&amp;CHAR(10),""),IF(Q73&gt;Q71," * RITA Long-Term Emergency Ward "&amp;$P$20&amp;" "&amp;$Q$21&amp;" is more than RTRI Long-Term Emergency Ward "&amp;CHAR(10),""),IF(R73&gt;R71," * RITA Long-Term Emergency Ward "&amp;$R$20&amp;" "&amp;$R$21&amp;" is more than RTRI Long-Term Emergency Ward "&amp;CHAR(10),""),IF(S73&gt;S71," * RITA Long-Term Emergency Ward "&amp;$R$20&amp;" "&amp;$S$21&amp;" is more than RTRI Long-Term Emergency Ward "&amp;CHAR(10),""),IF(T73&gt;T71," * RITA Long-Term Emergency Ward "&amp;$T$20&amp;" "&amp;$T$21&amp;" is more than RTRI Long-Term Emergency Ward "&amp;CHAR(10),""),IF(U73&gt;U71," * RITA Long-Term Emergency Ward "&amp;$T$20&amp;" "&amp;$U$21&amp;" is more than RTRI Long-Term Emergency Ward "&amp;CHAR(10),""),IF(V73&gt;V71," * RITA Long-Term Emergency Ward "&amp;$V$20&amp;" "&amp;$V$21&amp;" is more than RTRI Long-Term Emergency Ward "&amp;CHAR(10),""),IF(W73&gt;W71," * RITA Long-Term Emergency Ward "&amp;$V$20&amp;" "&amp;$W$21&amp;" is more than RTRI Long-Term Emergency Ward "&amp;CHAR(10),""),IF(X73&gt;X71," * RITA Long-Term Emergency Ward "&amp;$X$20&amp;" "&amp;$X$21&amp;" is more than RTRI Long-Term Emergency Ward "&amp;CHAR(10),""),IF(Y73&gt;Y71," * RITA Long-Term Emergency Ward "&amp;$X$20&amp;" "&amp;$Y$21&amp;" is more than RTRI Long-Term Emergency Ward "&amp;CHAR(10),""),IF(Z73&gt;Z71," * RITA Long-Term Emergency Ward "&amp;$Z$20&amp;" "&amp;$Z$21&amp;" is more than RTRI Long-Term Emergency Ward "&amp;CHAR(10),""),IF(AA73&gt;AA71," * RITA Long-Term Emergency Ward "&amp;$Z$20&amp;" "&amp;$AA$21&amp;" is more than RTRI Long-Term Emergency Ward "&amp;CHAR(10),""))</f>
        <v/>
      </c>
      <c r="AL71" s="1177"/>
      <c r="AM71" s="31"/>
      <c r="AN71" s="355"/>
      <c r="AO71" s="13">
        <v>33</v>
      </c>
      <c r="AP71" s="81"/>
      <c r="AQ71" s="82"/>
    </row>
    <row r="72" spans="1:43" s="83" customFormat="1" ht="25.5" hidden="1" customHeight="1" x14ac:dyDescent="0.4">
      <c r="A72" s="1157"/>
      <c r="B72" s="1" t="s">
        <v>1134</v>
      </c>
      <c r="C72" s="563" t="s">
        <v>1138</v>
      </c>
      <c r="D72" s="135"/>
      <c r="E72" s="78"/>
      <c r="F72" s="78"/>
      <c r="G72" s="78"/>
      <c r="H72" s="78"/>
      <c r="I72" s="78"/>
      <c r="J72" s="78"/>
      <c r="K72" s="370"/>
      <c r="L72" s="236"/>
      <c r="M72" s="236"/>
      <c r="N72" s="236"/>
      <c r="O72" s="236"/>
      <c r="P72" s="236"/>
      <c r="Q72" s="236"/>
      <c r="R72" s="236"/>
      <c r="S72" s="236"/>
      <c r="T72" s="236"/>
      <c r="U72" s="236"/>
      <c r="V72" s="236"/>
      <c r="W72" s="236"/>
      <c r="X72" s="236"/>
      <c r="Y72" s="236"/>
      <c r="Z72" s="236"/>
      <c r="AA72" s="236"/>
      <c r="AB72" s="375"/>
      <c r="AC72" s="345"/>
      <c r="AD72" s="345"/>
      <c r="AE72" s="345"/>
      <c r="AF72" s="345"/>
      <c r="AG72" s="345"/>
      <c r="AH72" s="345"/>
      <c r="AI72" s="302"/>
      <c r="AJ72" s="188">
        <f t="shared" ref="AJ72:AJ73" si="43">SUM(D72:AA72)</f>
        <v>0</v>
      </c>
      <c r="AK72" s="30"/>
      <c r="AL72" s="1177"/>
      <c r="AM72" s="31"/>
      <c r="AN72" s="355"/>
      <c r="AO72" s="13">
        <v>32</v>
      </c>
      <c r="AP72" s="81"/>
      <c r="AQ72" s="82"/>
    </row>
    <row r="73" spans="1:43" s="83" customFormat="1" ht="27" hidden="1" thickBot="1" x14ac:dyDescent="0.45">
      <c r="A73" s="1158"/>
      <c r="B73" s="356" t="s">
        <v>1135</v>
      </c>
      <c r="C73" s="565" t="s">
        <v>1139</v>
      </c>
      <c r="D73" s="119"/>
      <c r="E73" s="102"/>
      <c r="F73" s="102"/>
      <c r="G73" s="102"/>
      <c r="H73" s="102"/>
      <c r="I73" s="102"/>
      <c r="J73" s="102"/>
      <c r="K73" s="364"/>
      <c r="L73" s="248"/>
      <c r="M73" s="248"/>
      <c r="N73" s="248"/>
      <c r="O73" s="248"/>
      <c r="P73" s="248"/>
      <c r="Q73" s="248"/>
      <c r="R73" s="248"/>
      <c r="S73" s="248"/>
      <c r="T73" s="248"/>
      <c r="U73" s="248"/>
      <c r="V73" s="248"/>
      <c r="W73" s="248"/>
      <c r="X73" s="248"/>
      <c r="Y73" s="248"/>
      <c r="Z73" s="248"/>
      <c r="AA73" s="248"/>
      <c r="AB73" s="375"/>
      <c r="AC73" s="345"/>
      <c r="AD73" s="345"/>
      <c r="AE73" s="345"/>
      <c r="AF73" s="345"/>
      <c r="AG73" s="345"/>
      <c r="AH73" s="345"/>
      <c r="AI73" s="302"/>
      <c r="AJ73" s="192">
        <f t="shared" si="43"/>
        <v>0</v>
      </c>
      <c r="AK73" s="30"/>
      <c r="AL73" s="1177"/>
      <c r="AM73" s="31"/>
      <c r="AN73" s="355"/>
      <c r="AO73" s="13">
        <v>33</v>
      </c>
      <c r="AP73" s="81"/>
      <c r="AQ73" s="82"/>
    </row>
    <row r="74" spans="1:43" s="83" customFormat="1" ht="25.5" hidden="1" customHeight="1" x14ac:dyDescent="0.4">
      <c r="A74" s="1264" t="s">
        <v>980</v>
      </c>
      <c r="B74" s="1" t="s">
        <v>1132</v>
      </c>
      <c r="C74" s="562" t="s">
        <v>970</v>
      </c>
      <c r="D74" s="134"/>
      <c r="E74" s="99"/>
      <c r="F74" s="99"/>
      <c r="G74" s="99"/>
      <c r="H74" s="99"/>
      <c r="I74" s="99"/>
      <c r="J74" s="99"/>
      <c r="K74" s="363"/>
      <c r="L74" s="236"/>
      <c r="M74" s="236"/>
      <c r="N74" s="236"/>
      <c r="O74" s="236"/>
      <c r="P74" s="236"/>
      <c r="Q74" s="236"/>
      <c r="R74" s="236"/>
      <c r="S74" s="236"/>
      <c r="T74" s="236"/>
      <c r="U74" s="236"/>
      <c r="V74" s="236"/>
      <c r="W74" s="236"/>
      <c r="X74" s="236"/>
      <c r="Y74" s="236"/>
      <c r="Z74" s="236"/>
      <c r="AA74" s="236"/>
      <c r="AB74" s="375"/>
      <c r="AC74" s="345"/>
      <c r="AD74" s="345"/>
      <c r="AE74" s="345"/>
      <c r="AF74" s="345"/>
      <c r="AG74" s="345"/>
      <c r="AH74" s="345"/>
      <c r="AI74" s="302"/>
      <c r="AJ74" s="188">
        <f t="shared" si="41"/>
        <v>0</v>
      </c>
      <c r="AK74" s="30" t="str">
        <f>CONCATENATE(IF(D76&gt;D74," * RITA RECENT Inpatient Services "&amp;$D$20&amp;" "&amp;$D$21&amp;" is more than RTRI RECENT Inpatient Services "&amp;CHAR(10),""),IF(E76&gt;E74," * RITA RECENT Inpatient Services "&amp;$D$20&amp;" "&amp;$E$21&amp;" is more than RTRI RECENT Inpatient Services "&amp;CHAR(10),""),IF(F76&gt;F74," * RITA RECENT Inpatient Services "&amp;$F$20&amp;" "&amp;$F$21&amp;" is more than RTRI RECENT Inpatient Services "&amp;CHAR(10),""),IF(G76&gt;G74," * RITA RECENT Inpatient Services "&amp;$F$20&amp;" "&amp;$G$21&amp;" is more than RTRI RECENT Inpatient Services "&amp;CHAR(10),""),IF(H76&gt;H74," * RITA RECENT Inpatient Services "&amp;$H$20&amp;" "&amp;$H$21&amp;" is more than RTRI RECENT Inpatient Services "&amp;CHAR(10),""),IF(I76&gt;I74," * RITA RECENT Inpatient Services "&amp;$H$20&amp;" "&amp;$I$21&amp;" is more than RTRI RECENT Inpatient Services "&amp;CHAR(10),""),IF(J76&gt;J74," * RITA RECENT Inpatient Services "&amp;$J$20&amp;" "&amp;$J$21&amp;" is more than RTRI RECENT Inpatient Services "&amp;CHAR(10),""),IF(K76&gt;K74," * RITA RECENT Inpatient Services "&amp;$J$20&amp;" "&amp;$K$21&amp;" is more than RTRI RECENT Inpatient Services "&amp;CHAR(10),""),IF(L76&gt;L74," * RITA RECENT Inpatient Services "&amp;$L$20&amp;" "&amp;$L$21&amp;" is more than RTRI RECENT Inpatient Services "&amp;CHAR(10),""),IF(M76&gt;M74," * RITA RECENT Inpatient Services "&amp;$L$20&amp;" "&amp;$M$21&amp;" is more than RTRI RECENT Inpatient Services "&amp;CHAR(10),""),IF(N76&gt;N74," * RITA RECENT Inpatient Services "&amp;$N$20&amp;" "&amp;$N$21&amp;" is more than RTRI RECENT Inpatient Services "&amp;CHAR(10),""),IF(O76&gt;O74," * RITA RECENT Inpatient Services "&amp;$N$20&amp;" "&amp;$O$21&amp;" is more than RTRI RECENT Inpatient Services "&amp;CHAR(10),""),IF(P76&gt;P74," * RITA RECENT Inpatient Services "&amp;$P$20&amp;" "&amp;$P$21&amp;" is more than RTRI RECENT Inpatient Services "&amp;CHAR(10),""),IF(Q76&gt;Q74," * RITA RECENT Inpatient Services "&amp;$P$20&amp;" "&amp;$Q$21&amp;" is more than RTRI RECENT Inpatient Services "&amp;CHAR(10),""),IF(R76&gt;R74," * RITA RECENT Inpatient Services "&amp;$R$20&amp;" "&amp;$R$21&amp;" is more than RTRI RECENT Inpatient Services "&amp;CHAR(10),""),IF(S76&gt;S74," * RITA RECENT Inpatient Services "&amp;$R$20&amp;" "&amp;$S$21&amp;" is more than RTRI RECENT Inpatient Services "&amp;CHAR(10),""),IF(T76&gt;T74," * RITA RECENT Inpatient Services "&amp;$T$20&amp;" "&amp;$T$21&amp;" is more than RTRI RECENT Inpatient Services "&amp;CHAR(10),""),IF(U76&gt;U74," * RITA RECENT Inpatient Services "&amp;$T$20&amp;" "&amp;$U$21&amp;" is more than RTRI RECENT Inpatient Services "&amp;CHAR(10),""),IF(V76&gt;V74," * RITA RECENT Inpatient Services "&amp;$V$20&amp;" "&amp;$V$21&amp;" is more than RTRI RECENT Inpatient Services "&amp;CHAR(10),""),IF(W76&gt;W74," * RITA RECENT Inpatient Services "&amp;$V$20&amp;" "&amp;$W$21&amp;" is more than RTRI RECENT Inpatient Services "&amp;CHAR(10),""),IF(X76&gt;X74," * RITA RECENT Inpatient Services "&amp;$X$20&amp;" "&amp;$X$21&amp;" is more than RTRI RECENT Inpatient Services "&amp;CHAR(10),""),IF(Y76&gt;Y74," * RITA RECENT Inpatient Services "&amp;$X$20&amp;" "&amp;$Y$21&amp;" is more than RTRI RECENT Inpatient Services "&amp;CHAR(10),""),IF(Z76&gt;Z74," * RITA RECENT Inpatient Services "&amp;$Z$20&amp;" "&amp;$Z$21&amp;" is more than RTRI RECENT Inpatient Services "&amp;CHAR(10),""),IF(AA76&gt;AA74," * RITA RECENT Inpatient Services "&amp;$Z$20&amp;" "&amp;$AA$21&amp;" is more than RTRI RECENT Inpatient Services "&amp;CHAR(10),""))</f>
        <v/>
      </c>
      <c r="AL74" s="1177"/>
      <c r="AM74" s="31"/>
      <c r="AN74" s="355"/>
      <c r="AO74" s="13">
        <v>32</v>
      </c>
      <c r="AP74" s="81"/>
      <c r="AQ74" s="82"/>
    </row>
    <row r="75" spans="1:43" s="83" customFormat="1" ht="27" hidden="1" thickBot="1" x14ac:dyDescent="0.45">
      <c r="A75" s="1265"/>
      <c r="B75" s="356" t="s">
        <v>1133</v>
      </c>
      <c r="C75" s="563" t="s">
        <v>971</v>
      </c>
      <c r="D75" s="135"/>
      <c r="E75" s="78"/>
      <c r="F75" s="78"/>
      <c r="G75" s="78"/>
      <c r="H75" s="78"/>
      <c r="I75" s="78"/>
      <c r="J75" s="78"/>
      <c r="K75" s="370"/>
      <c r="L75" s="141"/>
      <c r="M75" s="141"/>
      <c r="N75" s="141"/>
      <c r="O75" s="141"/>
      <c r="P75" s="141"/>
      <c r="Q75" s="141"/>
      <c r="R75" s="141"/>
      <c r="S75" s="141"/>
      <c r="T75" s="141"/>
      <c r="U75" s="141"/>
      <c r="V75" s="141"/>
      <c r="W75" s="141"/>
      <c r="X75" s="141"/>
      <c r="Y75" s="141"/>
      <c r="Z75" s="141"/>
      <c r="AA75" s="141"/>
      <c r="AB75" s="375"/>
      <c r="AC75" s="345"/>
      <c r="AD75" s="345"/>
      <c r="AE75" s="345"/>
      <c r="AF75" s="345"/>
      <c r="AG75" s="345"/>
      <c r="AH75" s="345"/>
      <c r="AI75" s="302"/>
      <c r="AJ75" s="192">
        <f t="shared" si="41"/>
        <v>0</v>
      </c>
      <c r="AK75" s="30" t="str">
        <f>CONCATENATE(IF(D77&gt;D75," * RITA Long-Term Inpatient Services  "&amp;$D$20&amp;" "&amp;$D$21&amp;" is more than RTRI Long-Term Inpatient Services  "&amp;CHAR(10),""),IF(E77&gt;E75," * RITA Long-Term Inpatient Services  "&amp;$D$20&amp;" "&amp;$E$21&amp;" is more than RTRI Long-Term Inpatient Services  "&amp;CHAR(10),""),IF(F77&gt;F75," * RITA Long-Term Inpatient Services  "&amp;$F$20&amp;" "&amp;$F$21&amp;" is more than RTRI Long-Term Inpatient Services  "&amp;CHAR(10),""),IF(G77&gt;G75," * RITA Long-Term Inpatient Services  "&amp;$F$20&amp;" "&amp;$G$21&amp;" is more than RTRI Long-Term Inpatient Services  "&amp;CHAR(10),""),IF(H77&gt;H75," * RITA Long-Term Inpatient Services  "&amp;$H$20&amp;" "&amp;$H$21&amp;" is more than RTRI Long-Term Inpatient Services  "&amp;CHAR(10),""),IF(I77&gt;I75," * RITA Long-Term Inpatient Services  "&amp;$H$20&amp;" "&amp;$I$21&amp;" is more than RTRI Long-Term Inpatient Services  "&amp;CHAR(10),""),IF(J77&gt;J75," * RITA Long-Term Inpatient Services  "&amp;$J$20&amp;" "&amp;$J$21&amp;" is more than RTRI Long-Term Inpatient Services  "&amp;CHAR(10),""),IF(K77&gt;K75," * RITA Long-Term Inpatient Services  "&amp;$J$20&amp;" "&amp;$K$21&amp;" is more than RTRI Long-Term Inpatient Services  "&amp;CHAR(10),""),IF(L77&gt;L75," * RITA Long-Term Inpatient Services  "&amp;$L$20&amp;" "&amp;$L$21&amp;" is more than RTRI Long-Term Inpatient Services  "&amp;CHAR(10),""),IF(M77&gt;M75," * RITA Long-Term Inpatient Services  "&amp;$L$20&amp;" "&amp;$M$21&amp;" is more than RTRI Long-Term Inpatient Services  "&amp;CHAR(10),""),IF(N77&gt;N75," * RITA Long-Term Inpatient Services  "&amp;$N$20&amp;" "&amp;$N$21&amp;" is more than RTRI Long-Term Inpatient Services  "&amp;CHAR(10),""),IF(O77&gt;O75," * RITA Long-Term Inpatient Services  "&amp;$N$20&amp;" "&amp;$O$21&amp;" is more than RTRI Long-Term Inpatient Services  "&amp;CHAR(10),""),IF(P77&gt;P75," * RITA Long-Term Inpatient Services  "&amp;$P$20&amp;" "&amp;$P$21&amp;" is more than RTRI Long-Term Inpatient Services  "&amp;CHAR(10),""),IF(Q77&gt;Q75," * RITA Long-Term Inpatient Services  "&amp;$P$20&amp;" "&amp;$Q$21&amp;" is more than RTRI Long-Term Inpatient Services  "&amp;CHAR(10),""),IF(R77&gt;R75," * RITA Long-Term Inpatient Services  "&amp;$R$20&amp;" "&amp;$R$21&amp;" is more than RTRI Long-Term Inpatient Services  "&amp;CHAR(10),""),IF(S77&gt;S75," * RITA Long-Term Inpatient Services  "&amp;$R$20&amp;" "&amp;$S$21&amp;" is more than RTRI Long-Term Inpatient Services  "&amp;CHAR(10),""),IF(T77&gt;T75," * RITA Long-Term Inpatient Services  "&amp;$T$20&amp;" "&amp;$T$21&amp;" is more than RTRI Long-Term Inpatient Services  "&amp;CHAR(10),""),IF(U77&gt;U75," * RITA Long-Term Inpatient Services  "&amp;$T$20&amp;" "&amp;$U$21&amp;" is more than RTRI Long-Term Inpatient Services  "&amp;CHAR(10),""),IF(V77&gt;V75," * RITA Long-Term Inpatient Services  "&amp;$V$20&amp;" "&amp;$V$21&amp;" is more than RTRI Long-Term Inpatient Services  "&amp;CHAR(10),""),IF(W77&gt;W75," * RITA Long-Term Inpatient Services  "&amp;$V$20&amp;" "&amp;$W$21&amp;" is more than RTRI Long-Term Inpatient Services  "&amp;CHAR(10),""),IF(X77&gt;X75," * RITA Long-Term Inpatient Services  "&amp;$X$20&amp;" "&amp;$X$21&amp;" is more than RTRI Long-Term Inpatient Services  "&amp;CHAR(10),""),IF(Y77&gt;Y75," * RITA Long-Term Inpatient Services  "&amp;$X$20&amp;" "&amp;$Y$21&amp;" is more than RTRI Long-Term Inpatient Services  "&amp;CHAR(10),""),IF(Z77&gt;Z75," * RITA Long-Term Inpatient Services  "&amp;$Z$20&amp;" "&amp;$Z$21&amp;" is more than RTRI Long-Term Inpatient Services  "&amp;CHAR(10),""),IF(AA77&gt;AA75," * RITA Long-Term Inpatient Services  "&amp;$Z$20&amp;" "&amp;$AA$21&amp;" is more than RTRI Long-Term Inpatient Services  "&amp;CHAR(10),""))</f>
        <v/>
      </c>
      <c r="AL75" s="1177"/>
      <c r="AM75" s="31"/>
      <c r="AN75" s="355"/>
      <c r="AO75" s="13">
        <v>33</v>
      </c>
      <c r="AP75" s="81"/>
      <c r="AQ75" s="82"/>
    </row>
    <row r="76" spans="1:43" s="83" customFormat="1" ht="25.5" hidden="1" customHeight="1" x14ac:dyDescent="0.4">
      <c r="A76" s="1265"/>
      <c r="B76" s="1" t="s">
        <v>1134</v>
      </c>
      <c r="C76" s="563" t="s">
        <v>1176</v>
      </c>
      <c r="D76" s="135"/>
      <c r="E76" s="78"/>
      <c r="F76" s="78"/>
      <c r="G76" s="78"/>
      <c r="H76" s="78"/>
      <c r="I76" s="78"/>
      <c r="J76" s="78"/>
      <c r="K76" s="370"/>
      <c r="L76" s="236"/>
      <c r="M76" s="236"/>
      <c r="N76" s="236"/>
      <c r="O76" s="236"/>
      <c r="P76" s="236"/>
      <c r="Q76" s="236"/>
      <c r="R76" s="236"/>
      <c r="S76" s="236"/>
      <c r="T76" s="236"/>
      <c r="U76" s="236"/>
      <c r="V76" s="236"/>
      <c r="W76" s="236"/>
      <c r="X76" s="236"/>
      <c r="Y76" s="236"/>
      <c r="Z76" s="236"/>
      <c r="AA76" s="236"/>
      <c r="AB76" s="375"/>
      <c r="AC76" s="345"/>
      <c r="AD76" s="345"/>
      <c r="AE76" s="345"/>
      <c r="AF76" s="345"/>
      <c r="AG76" s="345"/>
      <c r="AH76" s="345"/>
      <c r="AI76" s="302"/>
      <c r="AJ76" s="184"/>
      <c r="AK76" s="30"/>
      <c r="AL76" s="1177"/>
      <c r="AM76" s="31"/>
      <c r="AN76" s="355"/>
      <c r="AO76" s="13"/>
      <c r="AP76" s="81"/>
      <c r="AQ76" s="82"/>
    </row>
    <row r="77" spans="1:43" s="83" customFormat="1" ht="27" hidden="1" thickBot="1" x14ac:dyDescent="0.45">
      <c r="A77" s="1266"/>
      <c r="B77" s="356" t="s">
        <v>1135</v>
      </c>
      <c r="C77" s="565" t="s">
        <v>1177</v>
      </c>
      <c r="D77" s="119"/>
      <c r="E77" s="102"/>
      <c r="F77" s="102"/>
      <c r="G77" s="102"/>
      <c r="H77" s="102"/>
      <c r="I77" s="102"/>
      <c r="J77" s="102"/>
      <c r="K77" s="364"/>
      <c r="L77" s="248"/>
      <c r="M77" s="248"/>
      <c r="N77" s="248"/>
      <c r="O77" s="248"/>
      <c r="P77" s="248"/>
      <c r="Q77" s="248"/>
      <c r="R77" s="248"/>
      <c r="S77" s="248"/>
      <c r="T77" s="248"/>
      <c r="U77" s="248"/>
      <c r="V77" s="248"/>
      <c r="W77" s="248"/>
      <c r="X77" s="248"/>
      <c r="Y77" s="248"/>
      <c r="Z77" s="248"/>
      <c r="AA77" s="248"/>
      <c r="AB77" s="375"/>
      <c r="AC77" s="345"/>
      <c r="AD77" s="345"/>
      <c r="AE77" s="345"/>
      <c r="AF77" s="345"/>
      <c r="AG77" s="345"/>
      <c r="AH77" s="345"/>
      <c r="AI77" s="302"/>
      <c r="AJ77" s="184"/>
      <c r="AK77" s="30"/>
      <c r="AL77" s="1177"/>
      <c r="AM77" s="31"/>
      <c r="AN77" s="355"/>
      <c r="AO77" s="13"/>
      <c r="AP77" s="81"/>
      <c r="AQ77" s="82"/>
    </row>
    <row r="78" spans="1:43" s="83" customFormat="1" ht="25.5" hidden="1" customHeight="1" x14ac:dyDescent="0.4">
      <c r="A78" s="1156" t="s">
        <v>981</v>
      </c>
      <c r="B78" s="1" t="s">
        <v>1132</v>
      </c>
      <c r="C78" s="562" t="s">
        <v>972</v>
      </c>
      <c r="D78" s="134"/>
      <c r="E78" s="99"/>
      <c r="F78" s="99"/>
      <c r="G78" s="99"/>
      <c r="H78" s="99"/>
      <c r="I78" s="99"/>
      <c r="J78" s="99"/>
      <c r="K78" s="363"/>
      <c r="L78" s="98"/>
      <c r="M78" s="236"/>
      <c r="N78" s="99"/>
      <c r="O78" s="236"/>
      <c r="P78" s="99"/>
      <c r="Q78" s="236"/>
      <c r="R78" s="99"/>
      <c r="S78" s="236"/>
      <c r="T78" s="99"/>
      <c r="U78" s="236"/>
      <c r="V78" s="99"/>
      <c r="W78" s="236"/>
      <c r="X78" s="99"/>
      <c r="Y78" s="236"/>
      <c r="Z78" s="99"/>
      <c r="AA78" s="495"/>
      <c r="AB78" s="375"/>
      <c r="AC78" s="345"/>
      <c r="AD78" s="345"/>
      <c r="AE78" s="345"/>
      <c r="AF78" s="345"/>
      <c r="AG78" s="345"/>
      <c r="AH78" s="345"/>
      <c r="AI78" s="302"/>
      <c r="AJ78" s="188">
        <f t="shared" si="41"/>
        <v>0</v>
      </c>
      <c r="AK78" s="30" t="str">
        <f>CONCATENATE(IF(D80&gt;D78," * RITA RECENT PMTCT ANC1 ONLY "&amp;$D$20&amp;" "&amp;$D$21&amp;" is more than RTRI RECENT PMTCT ANC1 ONLY "&amp;CHAR(10),""),IF(E80&gt;E78," * RITA RECENT PMTCT ANC1 ONLY "&amp;$D$20&amp;" "&amp;$E$21&amp;" is more than RTRI RECENT PMTCT ANC1 ONLY "&amp;CHAR(10),""),IF(F80&gt;F78," * RITA RECENT PMTCT ANC1 ONLY "&amp;$F$20&amp;" "&amp;$F$21&amp;" is more than RTRI RECENT PMTCT ANC1 ONLY "&amp;CHAR(10),""),IF(G80&gt;G78," * RITA RECENT PMTCT ANC1 ONLY "&amp;$F$20&amp;" "&amp;$G$21&amp;" is more than RTRI RECENT PMTCT ANC1 ONLY "&amp;CHAR(10),""),IF(H80&gt;H78," * RITA RECENT PMTCT ANC1 ONLY "&amp;$H$20&amp;" "&amp;$H$21&amp;" is more than RTRI RECENT PMTCT ANC1 ONLY "&amp;CHAR(10),""),IF(I80&gt;I78," * RITA RECENT PMTCT ANC1 ONLY "&amp;$H$20&amp;" "&amp;$I$21&amp;" is more than RTRI RECENT PMTCT ANC1 ONLY "&amp;CHAR(10),""),IF(J80&gt;J78," * RITA RECENT PMTCT ANC1 ONLY "&amp;$J$20&amp;" "&amp;$J$21&amp;" is more than RTRI RECENT PMTCT ANC1 ONLY "&amp;CHAR(10),""),IF(K80&gt;K78," * RITA RECENT PMTCT ANC1 ONLY "&amp;$J$20&amp;" "&amp;$K$21&amp;" is more than RTRI RECENT PMTCT ANC1 ONLY "&amp;CHAR(10),""),IF(L80&gt;L78," * RITA RECENT PMTCT ANC1 ONLY "&amp;$L$20&amp;" "&amp;$L$21&amp;" is more than RTRI RECENT PMTCT ANC1 ONLY "&amp;CHAR(10),""),IF(M80&gt;M78," * RITA RECENT PMTCT ANC1 ONLY "&amp;$L$20&amp;" "&amp;$M$21&amp;" is more than RTRI RECENT PMTCT ANC1 ONLY "&amp;CHAR(10),""),IF(N80&gt;N78," * RITA RECENT PMTCT ANC1 ONLY "&amp;$N$20&amp;" "&amp;$N$21&amp;" is more than RTRI RECENT PMTCT ANC1 ONLY "&amp;CHAR(10),""),IF(O80&gt;O78," * RITA RECENT PMTCT ANC1 ONLY "&amp;$N$20&amp;" "&amp;$O$21&amp;" is more than RTRI RECENT PMTCT ANC1 ONLY "&amp;CHAR(10),""),IF(P80&gt;P78," * RITA RECENT PMTCT ANC1 ONLY "&amp;$P$20&amp;" "&amp;$P$21&amp;" is more than RTRI RECENT PMTCT ANC1 ONLY "&amp;CHAR(10),""),IF(Q80&gt;Q78," * RITA RECENT PMTCT ANC1 ONLY "&amp;$P$20&amp;" "&amp;$Q$21&amp;" is more than RTRI RECENT PMTCT ANC1 ONLY "&amp;CHAR(10),""),IF(R80&gt;R78," * RITA RECENT PMTCT ANC1 ONLY "&amp;$R$20&amp;" "&amp;$R$21&amp;" is more than RTRI RECENT PMTCT ANC1 ONLY "&amp;CHAR(10),""),IF(S80&gt;S78," * RITA RECENT PMTCT ANC1 ONLY "&amp;$R$20&amp;" "&amp;$S$21&amp;" is more than RTRI RECENT PMTCT ANC1 ONLY "&amp;CHAR(10),""),IF(T80&gt;T78," * RITA RECENT PMTCT ANC1 ONLY "&amp;$T$20&amp;" "&amp;$T$21&amp;" is more than RTRI RECENT PMTCT ANC1 ONLY "&amp;CHAR(10),""),IF(U80&gt;U78," * RITA RECENT PMTCT ANC1 ONLY "&amp;$T$20&amp;" "&amp;$U$21&amp;" is more than RTRI RECENT PMTCT ANC1 ONLY "&amp;CHAR(10),""),IF(V80&gt;V78," * RITA RECENT PMTCT ANC1 ONLY "&amp;$V$20&amp;" "&amp;$V$21&amp;" is more than RTRI RECENT PMTCT ANC1 ONLY "&amp;CHAR(10),""),IF(W80&gt;W78," * RITA RECENT PMTCT ANC1 ONLY "&amp;$V$20&amp;" "&amp;$W$21&amp;" is more than RTRI RECENT PMTCT ANC1 ONLY "&amp;CHAR(10),""),IF(X80&gt;X78," * RITA RECENT PMTCT ANC1 ONLY "&amp;$X$20&amp;" "&amp;$X$21&amp;" is more than RTRI RECENT PMTCT ANC1 ONLY "&amp;CHAR(10),""),IF(Y80&gt;Y78," * RITA RECENT PMTCT ANC1 ONLY "&amp;$X$20&amp;" "&amp;$Y$21&amp;" is more than RTRI RECENT PMTCT ANC1 ONLY "&amp;CHAR(10),""),IF(Z80&gt;Z78," * RITA RECENT PMTCT ANC1 ONLY "&amp;$Z$20&amp;" "&amp;$Z$21&amp;" is more than RTRI RECENT PMTCT ANC1 ONLY "&amp;CHAR(10),""),IF(AA80&gt;AA78," * RITA RECENT PMTCT ANC1 ONLY "&amp;$Z$20&amp;" "&amp;$AA$21&amp;" is more than RTRI RECENT PMTCT ANC1 ONLY "&amp;CHAR(10),""))</f>
        <v/>
      </c>
      <c r="AL78" s="1177"/>
      <c r="AM78" s="31"/>
      <c r="AN78" s="355"/>
      <c r="AO78" s="13">
        <v>32</v>
      </c>
      <c r="AP78" s="81"/>
      <c r="AQ78" s="82"/>
    </row>
    <row r="79" spans="1:43" s="83" customFormat="1" ht="27" hidden="1" thickBot="1" x14ac:dyDescent="0.45">
      <c r="A79" s="1157"/>
      <c r="B79" s="356" t="s">
        <v>1133</v>
      </c>
      <c r="C79" s="563" t="s">
        <v>973</v>
      </c>
      <c r="D79" s="135"/>
      <c r="E79" s="78"/>
      <c r="F79" s="78"/>
      <c r="G79" s="78"/>
      <c r="H79" s="78"/>
      <c r="I79" s="78"/>
      <c r="J79" s="78"/>
      <c r="K79" s="370"/>
      <c r="L79" s="77"/>
      <c r="M79" s="141"/>
      <c r="N79" s="78"/>
      <c r="O79" s="141"/>
      <c r="P79" s="78"/>
      <c r="Q79" s="141"/>
      <c r="R79" s="78"/>
      <c r="S79" s="141"/>
      <c r="T79" s="78"/>
      <c r="U79" s="141"/>
      <c r="V79" s="78"/>
      <c r="W79" s="141"/>
      <c r="X79" s="78"/>
      <c r="Y79" s="141"/>
      <c r="Z79" s="78"/>
      <c r="AA79" s="496"/>
      <c r="AB79" s="375"/>
      <c r="AC79" s="345"/>
      <c r="AD79" s="345"/>
      <c r="AE79" s="345"/>
      <c r="AF79" s="345"/>
      <c r="AG79" s="345"/>
      <c r="AH79" s="345"/>
      <c r="AI79" s="302"/>
      <c r="AJ79" s="192">
        <f t="shared" si="41"/>
        <v>0</v>
      </c>
      <c r="AK79" s="30" t="str">
        <f>CONCATENATE(IF(D81&gt;D79," * RITA Long-Term PMTCT ANC1 ONLY  "&amp;$D$20&amp;" "&amp;$D$21&amp;" is more than RTRI Long-Term PMTCT ANC1 ONLY  "&amp;CHAR(10),""),IF(E81&gt;E79," * RITA Long-Term PMTCT ANC1 ONLY  "&amp;$D$20&amp;" "&amp;$E$21&amp;" is more than RTRI Long-Term PMTCT ANC1 ONLY  "&amp;CHAR(10),""),IF(F81&gt;F79," * RITA Long-Term PMTCT ANC1 ONLY  "&amp;$F$20&amp;" "&amp;$F$21&amp;" is more than RTRI Long-Term PMTCT ANC1 ONLY  "&amp;CHAR(10),""),IF(G81&gt;G79," * RITA Long-Term PMTCT ANC1 ONLY  "&amp;$F$20&amp;" "&amp;$G$21&amp;" is more than RTRI Long-Term PMTCT ANC1 ONLY  "&amp;CHAR(10),""),IF(H81&gt;H79," * RITA Long-Term PMTCT ANC1 ONLY  "&amp;$H$20&amp;" "&amp;$H$21&amp;" is more than RTRI Long-Term PMTCT ANC1 ONLY  "&amp;CHAR(10),""),IF(I81&gt;I79," * RITA Long-Term PMTCT ANC1 ONLY  "&amp;$H$20&amp;" "&amp;$I$21&amp;" is more than RTRI Long-Term PMTCT ANC1 ONLY  "&amp;CHAR(10),""),IF(J81&gt;J79," * RITA Long-Term PMTCT ANC1 ONLY  "&amp;$J$20&amp;" "&amp;$J$21&amp;" is more than RTRI Long-Term PMTCT ANC1 ONLY  "&amp;CHAR(10),""),IF(K81&gt;K79," * RITA Long-Term PMTCT ANC1 ONLY  "&amp;$J$20&amp;" "&amp;$K$21&amp;" is more than RTRI Long-Term PMTCT ANC1 ONLY  "&amp;CHAR(10),""),IF(L81&gt;L79," * RITA Long-Term PMTCT ANC1 ONLY  "&amp;$L$20&amp;" "&amp;$L$21&amp;" is more than RTRI Long-Term PMTCT ANC1 ONLY  "&amp;CHAR(10),""),IF(M81&gt;M79," * RITA Long-Term PMTCT ANC1 ONLY  "&amp;$L$20&amp;" "&amp;$M$21&amp;" is more than RTRI Long-Term PMTCT ANC1 ONLY  "&amp;CHAR(10),""),IF(N81&gt;N79," * RITA Long-Term PMTCT ANC1 ONLY  "&amp;$N$20&amp;" "&amp;$N$21&amp;" is more than RTRI Long-Term PMTCT ANC1 ONLY  "&amp;CHAR(10),""),IF(O81&gt;O79," * RITA Long-Term PMTCT ANC1 ONLY  "&amp;$N$20&amp;" "&amp;$O$21&amp;" is more than RTRI Long-Term PMTCT ANC1 ONLY  "&amp;CHAR(10),""),IF(P81&gt;P79," * RITA Long-Term PMTCT ANC1 ONLY  "&amp;$P$20&amp;" "&amp;$P$21&amp;" is more than RTRI Long-Term PMTCT ANC1 ONLY  "&amp;CHAR(10),""),IF(Q81&gt;Q79," * RITA Long-Term PMTCT ANC1 ONLY  "&amp;$P$20&amp;" "&amp;$Q$21&amp;" is more than RTRI Long-Term PMTCT ANC1 ONLY  "&amp;CHAR(10),""),IF(R81&gt;R79," * RITA Long-Term PMTCT ANC1 ONLY  "&amp;$R$20&amp;" "&amp;$R$21&amp;" is more than RTRI Long-Term PMTCT ANC1 ONLY  "&amp;CHAR(10),""),IF(S81&gt;S79," * RITA Long-Term PMTCT ANC1 ONLY  "&amp;$R$20&amp;" "&amp;$S$21&amp;" is more than RTRI Long-Term PMTCT ANC1 ONLY  "&amp;CHAR(10),""),IF(T81&gt;T79," * RITA Long-Term PMTCT ANC1 ONLY  "&amp;$T$20&amp;" "&amp;$T$21&amp;" is more than RTRI Long-Term PMTCT ANC1 ONLY  "&amp;CHAR(10),""),IF(U81&gt;U79," * RITA Long-Term PMTCT ANC1 ONLY  "&amp;$T$20&amp;" "&amp;$U$21&amp;" is more than RTRI Long-Term PMTCT ANC1 ONLY  "&amp;CHAR(10),""),IF(V81&gt;V79," * RITA Long-Term PMTCT ANC1 ONLY  "&amp;$V$20&amp;" "&amp;$V$21&amp;" is more than RTRI Long-Term PMTCT ANC1 ONLY  "&amp;CHAR(10),""),IF(W81&gt;W79," * RITA Long-Term PMTCT ANC1 ONLY  "&amp;$V$20&amp;" "&amp;$W$21&amp;" is more than RTRI Long-Term PMTCT ANC1 ONLY  "&amp;CHAR(10),""),IF(X81&gt;X79," * RITA Long-Term PMTCT ANC1 ONLY  "&amp;$X$20&amp;" "&amp;$X$21&amp;" is more than RTRI Long-Term PMTCT ANC1 ONLY  "&amp;CHAR(10),""),IF(Y81&gt;Y79," * RITA Long-Term PMTCT ANC1 ONLY  "&amp;$X$20&amp;" "&amp;$Y$21&amp;" is more than RTRI Long-Term PMTCT ANC1 ONLY  "&amp;CHAR(10),""),IF(Z81&gt;Z79," * RITA Long-Term PMTCT ANC1 ONLY  "&amp;$Z$20&amp;" "&amp;$Z$21&amp;" is more than RTRI Long-Term PMTCT ANC1 ONLY  "&amp;CHAR(10),""),IF(AA81&gt;AA79," * RITA Long-Term PMTCT ANC1 ONLY  "&amp;$Z$20&amp;" "&amp;$AA$21&amp;" is more than RTRI Long-Term PMTCT ANC1 ONLY  "&amp;CHAR(10),""))</f>
        <v/>
      </c>
      <c r="AL79" s="1177"/>
      <c r="AM79" s="31"/>
      <c r="AN79" s="355"/>
      <c r="AO79" s="13">
        <v>33</v>
      </c>
      <c r="AP79" s="81"/>
      <c r="AQ79" s="82"/>
    </row>
    <row r="80" spans="1:43" s="83" customFormat="1" ht="26.25" hidden="1" x14ac:dyDescent="0.4">
      <c r="A80" s="1157"/>
      <c r="B80" s="1" t="s">
        <v>1134</v>
      </c>
      <c r="C80" s="563" t="s">
        <v>1140</v>
      </c>
      <c r="D80" s="135"/>
      <c r="E80" s="78"/>
      <c r="F80" s="78"/>
      <c r="G80" s="78"/>
      <c r="H80" s="78"/>
      <c r="I80" s="78"/>
      <c r="J80" s="78"/>
      <c r="K80" s="370"/>
      <c r="L80" s="77"/>
      <c r="M80" s="236"/>
      <c r="N80" s="78"/>
      <c r="O80" s="236"/>
      <c r="P80" s="78"/>
      <c r="Q80" s="236"/>
      <c r="R80" s="78"/>
      <c r="S80" s="236"/>
      <c r="T80" s="78"/>
      <c r="U80" s="236"/>
      <c r="V80" s="78"/>
      <c r="W80" s="236"/>
      <c r="X80" s="78"/>
      <c r="Y80" s="236"/>
      <c r="Z80" s="78"/>
      <c r="AA80" s="495"/>
      <c r="AB80" s="375"/>
      <c r="AC80" s="345"/>
      <c r="AD80" s="345"/>
      <c r="AE80" s="345"/>
      <c r="AF80" s="345"/>
      <c r="AG80" s="345"/>
      <c r="AH80" s="345"/>
      <c r="AI80" s="302"/>
      <c r="AJ80" s="184"/>
      <c r="AK80" s="30"/>
      <c r="AL80" s="1177"/>
      <c r="AM80" s="31"/>
      <c r="AN80" s="355"/>
      <c r="AO80" s="13"/>
      <c r="AP80" s="81"/>
      <c r="AQ80" s="82"/>
    </row>
    <row r="81" spans="1:43" s="83" customFormat="1" ht="27" hidden="1" thickBot="1" x14ac:dyDescent="0.45">
      <c r="A81" s="1158"/>
      <c r="B81" s="356" t="s">
        <v>1135</v>
      </c>
      <c r="C81" s="565" t="s">
        <v>1141</v>
      </c>
      <c r="D81" s="119"/>
      <c r="E81" s="102"/>
      <c r="F81" s="102"/>
      <c r="G81" s="102"/>
      <c r="H81" s="102"/>
      <c r="I81" s="102"/>
      <c r="J81" s="102"/>
      <c r="K81" s="364"/>
      <c r="L81" s="103"/>
      <c r="M81" s="141"/>
      <c r="N81" s="102"/>
      <c r="O81" s="141"/>
      <c r="P81" s="102"/>
      <c r="Q81" s="141"/>
      <c r="R81" s="102"/>
      <c r="S81" s="141"/>
      <c r="T81" s="102"/>
      <c r="U81" s="141"/>
      <c r="V81" s="102"/>
      <c r="W81" s="141"/>
      <c r="X81" s="102"/>
      <c r="Y81" s="141"/>
      <c r="Z81" s="102"/>
      <c r="AA81" s="496"/>
      <c r="AB81" s="375"/>
      <c r="AC81" s="345"/>
      <c r="AD81" s="345"/>
      <c r="AE81" s="345"/>
      <c r="AF81" s="345"/>
      <c r="AG81" s="345"/>
      <c r="AH81" s="345"/>
      <c r="AI81" s="302"/>
      <c r="AJ81" s="184"/>
      <c r="AK81" s="30"/>
      <c r="AL81" s="1177"/>
      <c r="AM81" s="31"/>
      <c r="AN81" s="355"/>
      <c r="AO81" s="13"/>
      <c r="AP81" s="81"/>
      <c r="AQ81" s="82"/>
    </row>
    <row r="82" spans="1:43" s="83" customFormat="1" ht="25.5" hidden="1" customHeight="1" x14ac:dyDescent="0.4">
      <c r="A82" s="1156" t="s">
        <v>989</v>
      </c>
      <c r="B82" s="1" t="s">
        <v>1132</v>
      </c>
      <c r="C82" s="566" t="s">
        <v>974</v>
      </c>
      <c r="D82" s="493"/>
      <c r="E82" s="71"/>
      <c r="F82" s="71"/>
      <c r="G82" s="71"/>
      <c r="H82" s="71"/>
      <c r="I82" s="71"/>
      <c r="J82" s="71"/>
      <c r="K82" s="494"/>
      <c r="L82" s="98"/>
      <c r="M82" s="236"/>
      <c r="N82" s="99"/>
      <c r="O82" s="236"/>
      <c r="P82" s="99"/>
      <c r="Q82" s="236"/>
      <c r="R82" s="99"/>
      <c r="S82" s="236"/>
      <c r="T82" s="99"/>
      <c r="U82" s="236"/>
      <c r="V82" s="99"/>
      <c r="W82" s="236"/>
      <c r="X82" s="99"/>
      <c r="Y82" s="236"/>
      <c r="Z82" s="99"/>
      <c r="AA82" s="495"/>
      <c r="AB82" s="375"/>
      <c r="AC82" s="345"/>
      <c r="AD82" s="345"/>
      <c r="AE82" s="345"/>
      <c r="AF82" s="345"/>
      <c r="AG82" s="345"/>
      <c r="AH82" s="345"/>
      <c r="AI82" s="302"/>
      <c r="AJ82" s="188">
        <f t="shared" si="41"/>
        <v>0</v>
      </c>
      <c r="AK82" s="30" t="str">
        <f>CONCATENATE(IF(D84&gt;D82," * RITA RECENT PMTCT POST ANC1 "&amp;$D$20&amp;" "&amp;$D$21&amp;" is more than RTRI RECENT PMTCT POST ANC1 "&amp;CHAR(10),""),IF(E84&gt;E82," * RITA RECENT PMTCT POST ANC1 "&amp;$D$20&amp;" "&amp;$E$21&amp;" is more than RTRI RECENT PMTCT POST ANC1 "&amp;CHAR(10),""),IF(F84&gt;F82," * RITA RECENT PMTCT POST ANC1 "&amp;$F$20&amp;" "&amp;$F$21&amp;" is more than RTRI RECENT PMTCT POST ANC1 "&amp;CHAR(10),""),IF(G84&gt;G82," * RITA RECENT PMTCT POST ANC1 "&amp;$F$20&amp;" "&amp;$G$21&amp;" is more than RTRI RECENT PMTCT POST ANC1 "&amp;CHAR(10),""),IF(H84&gt;H82," * RITA RECENT PMTCT POST ANC1 "&amp;$H$20&amp;" "&amp;$H$21&amp;" is more than RTRI RECENT PMTCT POST ANC1 "&amp;CHAR(10),""),IF(I84&gt;I82," * RITA RECENT PMTCT POST ANC1 "&amp;$H$20&amp;" "&amp;$I$21&amp;" is more than RTRI RECENT PMTCT POST ANC1 "&amp;CHAR(10),""),IF(J84&gt;J82," * RITA RECENT PMTCT POST ANC1 "&amp;$J$20&amp;" "&amp;$J$21&amp;" is more than RTRI RECENT PMTCT POST ANC1 "&amp;CHAR(10),""),IF(K84&gt;K82," * RITA RECENT PMTCT POST ANC1 "&amp;$J$20&amp;" "&amp;$K$21&amp;" is more than RTRI RECENT PMTCT POST ANC1 "&amp;CHAR(10),""),IF(L84&gt;L82," * RITA RECENT PMTCT POST ANC1 "&amp;$L$20&amp;" "&amp;$L$21&amp;" is more than RTRI RECENT PMTCT POST ANC1 "&amp;CHAR(10),""),IF(M84&gt;M82," * RITA RECENT PMTCT POST ANC1 "&amp;$L$20&amp;" "&amp;$M$21&amp;" is more than RTRI RECENT PMTCT POST ANC1 "&amp;CHAR(10),""),IF(N84&gt;N82," * RITA RECENT PMTCT POST ANC1 "&amp;$N$20&amp;" "&amp;$N$21&amp;" is more than RTRI RECENT PMTCT POST ANC1 "&amp;CHAR(10),""),IF(O84&gt;O82," * RITA RECENT PMTCT POST ANC1 "&amp;$N$20&amp;" "&amp;$O$21&amp;" is more than RTRI RECENT PMTCT POST ANC1 "&amp;CHAR(10),""),IF(P84&gt;P82," * RITA RECENT PMTCT POST ANC1 "&amp;$P$20&amp;" "&amp;$P$21&amp;" is more than RTRI RECENT PMTCT POST ANC1 "&amp;CHAR(10),""),IF(Q84&gt;Q82," * RITA RECENT PMTCT POST ANC1 "&amp;$P$20&amp;" "&amp;$Q$21&amp;" is more than RTRI RECENT PMTCT POST ANC1 "&amp;CHAR(10),""),IF(R84&gt;R82," * RITA RECENT PMTCT POST ANC1 "&amp;$R$20&amp;" "&amp;$R$21&amp;" is more than RTRI RECENT PMTCT POST ANC1 "&amp;CHAR(10),""),IF(S84&gt;S82," * RITA RECENT PMTCT POST ANC1 "&amp;$R$20&amp;" "&amp;$S$21&amp;" is more than RTRI RECENT PMTCT POST ANC1 "&amp;CHAR(10),""),IF(T84&gt;T82," * RITA RECENT PMTCT POST ANC1 "&amp;$T$20&amp;" "&amp;$T$21&amp;" is more than RTRI RECENT PMTCT POST ANC1 "&amp;CHAR(10),""),IF(U84&gt;U82," * RITA RECENT PMTCT POST ANC1 "&amp;$T$20&amp;" "&amp;$U$21&amp;" is more than RTRI RECENT PMTCT POST ANC1 "&amp;CHAR(10),""),IF(V84&gt;V82," * RITA RECENT PMTCT POST ANC1 "&amp;$V$20&amp;" "&amp;$V$21&amp;" is more than RTRI RECENT PMTCT POST ANC1 "&amp;CHAR(10),""),IF(W84&gt;W82," * RITA RECENT PMTCT POST ANC1 "&amp;$V$20&amp;" "&amp;$W$21&amp;" is more than RTRI RECENT PMTCT POST ANC1 "&amp;CHAR(10),""),IF(X84&gt;X82," * RITA RECENT PMTCT POST ANC1 "&amp;$X$20&amp;" "&amp;$X$21&amp;" is more than RTRI RECENT PMTCT POST ANC1 "&amp;CHAR(10),""),IF(Y84&gt;Y82," * RITA RECENT PMTCT POST ANC1 "&amp;$X$20&amp;" "&amp;$Y$21&amp;" is more than RTRI RECENT PMTCT POST ANC1 "&amp;CHAR(10),""),IF(Z84&gt;Z82," * RITA RECENT PMTCT POST ANC1 "&amp;$Z$20&amp;" "&amp;$Z$21&amp;" is more than RTRI RECENT PMTCT POST ANC1 "&amp;CHAR(10),""),IF(AA84&gt;AA82," * RITA RECENT PMTCT POST ANC1 "&amp;$Z$20&amp;" "&amp;$AA$21&amp;" is more than RTRI RECENT PMTCT POST ANC1 "&amp;CHAR(10),""))</f>
        <v/>
      </c>
      <c r="AL82" s="1177"/>
      <c r="AM82" s="31"/>
      <c r="AN82" s="355"/>
      <c r="AO82" s="13">
        <v>32</v>
      </c>
      <c r="AP82" s="81"/>
      <c r="AQ82" s="82"/>
    </row>
    <row r="83" spans="1:43" s="83" customFormat="1" ht="27" hidden="1" thickBot="1" x14ac:dyDescent="0.45">
      <c r="A83" s="1157"/>
      <c r="B83" s="356" t="s">
        <v>1133</v>
      </c>
      <c r="C83" s="563" t="s">
        <v>975</v>
      </c>
      <c r="D83" s="135"/>
      <c r="E83" s="78"/>
      <c r="F83" s="78"/>
      <c r="G83" s="78"/>
      <c r="H83" s="78"/>
      <c r="I83" s="78"/>
      <c r="J83" s="78"/>
      <c r="K83" s="370"/>
      <c r="L83" s="77"/>
      <c r="M83" s="141"/>
      <c r="N83" s="78"/>
      <c r="O83" s="141"/>
      <c r="P83" s="78"/>
      <c r="Q83" s="141"/>
      <c r="R83" s="78"/>
      <c r="S83" s="141"/>
      <c r="T83" s="78"/>
      <c r="U83" s="141"/>
      <c r="V83" s="78"/>
      <c r="W83" s="141"/>
      <c r="X83" s="78"/>
      <c r="Y83" s="141"/>
      <c r="Z83" s="78"/>
      <c r="AA83" s="496"/>
      <c r="AB83" s="375"/>
      <c r="AC83" s="345"/>
      <c r="AD83" s="345"/>
      <c r="AE83" s="345"/>
      <c r="AF83" s="345"/>
      <c r="AG83" s="345"/>
      <c r="AH83" s="345"/>
      <c r="AI83" s="302"/>
      <c r="AJ83" s="192">
        <f t="shared" si="41"/>
        <v>0</v>
      </c>
      <c r="AK83" s="30" t="str">
        <f>CONCATENATE(IF(D85&gt;D83," * RITA Long-Term PMTCT POST ANC1  "&amp;$D$20&amp;" "&amp;$D$21&amp;" is more than RTRI Long-Term PMTCT POST ANC1  "&amp;CHAR(10),""),IF(E85&gt;E83," * RITA Long-Term PMTCT POST ANC1  "&amp;$D$20&amp;" "&amp;$E$21&amp;" is more than RTRI Long-Term PMTCT POST ANC1  "&amp;CHAR(10),""),IF(F85&gt;F83," * RITA Long-Term PMTCT POST ANC1  "&amp;$F$20&amp;" "&amp;$F$21&amp;" is more than RTRI Long-Term PMTCT POST ANC1  "&amp;CHAR(10),""),IF(G85&gt;G83," * RITA Long-Term PMTCT POST ANC1  "&amp;$F$20&amp;" "&amp;$G$21&amp;" is more than RTRI Long-Term PMTCT POST ANC1  "&amp;CHAR(10),""),IF(H85&gt;H83," * RITA Long-Term PMTCT POST ANC1  "&amp;$H$20&amp;" "&amp;$H$21&amp;" is more than RTRI Long-Term PMTCT POST ANC1  "&amp;CHAR(10),""),IF(I85&gt;I83," * RITA Long-Term PMTCT POST ANC1  "&amp;$H$20&amp;" "&amp;$I$21&amp;" is more than RTRI Long-Term PMTCT POST ANC1  "&amp;CHAR(10),""),IF(J85&gt;J83," * RITA Long-Term PMTCT POST ANC1  "&amp;$J$20&amp;" "&amp;$J$21&amp;" is more than RTRI Long-Term PMTCT POST ANC1  "&amp;CHAR(10),""),IF(K85&gt;K83," * RITA Long-Term PMTCT POST ANC1  "&amp;$J$20&amp;" "&amp;$K$21&amp;" is more than RTRI Long-Term PMTCT POST ANC1  "&amp;CHAR(10),""),IF(L85&gt;L83," * RITA Long-Term PMTCT POST ANC1  "&amp;$L$20&amp;" "&amp;$L$21&amp;" is more than RTRI Long-Term PMTCT POST ANC1  "&amp;CHAR(10),""),IF(M85&gt;M83," * RITA Long-Term PMTCT POST ANC1  "&amp;$L$20&amp;" "&amp;$M$21&amp;" is more than RTRI Long-Term PMTCT POST ANC1  "&amp;CHAR(10),""),IF(N85&gt;N83," * RITA Long-Term PMTCT POST ANC1  "&amp;$N$20&amp;" "&amp;$N$21&amp;" is more than RTRI Long-Term PMTCT POST ANC1  "&amp;CHAR(10),""),IF(O85&gt;O83," * RITA Long-Term PMTCT POST ANC1  "&amp;$N$20&amp;" "&amp;$O$21&amp;" is more than RTRI Long-Term PMTCT POST ANC1  "&amp;CHAR(10),""),IF(P85&gt;P83," * RITA Long-Term PMTCT POST ANC1  "&amp;$P$20&amp;" "&amp;$P$21&amp;" is more than RTRI Long-Term PMTCT POST ANC1  "&amp;CHAR(10),""),IF(Q85&gt;Q83," * RITA Long-Term PMTCT POST ANC1  "&amp;$P$20&amp;" "&amp;$Q$21&amp;" is more than RTRI Long-Term PMTCT POST ANC1  "&amp;CHAR(10),""),IF(R85&gt;R83," * RITA Long-Term PMTCT POST ANC1  "&amp;$R$20&amp;" "&amp;$R$21&amp;" is more than RTRI Long-Term PMTCT POST ANC1  "&amp;CHAR(10),""),IF(S85&gt;S83," * RITA Long-Term PMTCT POST ANC1  "&amp;$R$20&amp;" "&amp;$S$21&amp;" is more than RTRI Long-Term PMTCT POST ANC1  "&amp;CHAR(10),""),IF(T85&gt;T83," * RITA Long-Term PMTCT POST ANC1  "&amp;$T$20&amp;" "&amp;$T$21&amp;" is more than RTRI Long-Term PMTCT POST ANC1  "&amp;CHAR(10),""),IF(U85&gt;U83," * RITA Long-Term PMTCT POST ANC1  "&amp;$T$20&amp;" "&amp;$U$21&amp;" is more than RTRI Long-Term PMTCT POST ANC1  "&amp;CHAR(10),""),IF(V85&gt;V83," * RITA Long-Term PMTCT POST ANC1  "&amp;$V$20&amp;" "&amp;$V$21&amp;" is more than RTRI Long-Term PMTCT POST ANC1  "&amp;CHAR(10),""),IF(W85&gt;W83," * RITA Long-Term PMTCT POST ANC1  "&amp;$V$20&amp;" "&amp;$W$21&amp;" is more than RTRI Long-Term PMTCT POST ANC1  "&amp;CHAR(10),""),IF(X85&gt;X83," * RITA Long-Term PMTCT POST ANC1  "&amp;$X$20&amp;" "&amp;$X$21&amp;" is more than RTRI Long-Term PMTCT POST ANC1  "&amp;CHAR(10),""),IF(Y85&gt;Y83," * RITA Long-Term PMTCT POST ANC1  "&amp;$X$20&amp;" "&amp;$Y$21&amp;" is more than RTRI Long-Term PMTCT POST ANC1  "&amp;CHAR(10),""),IF(Z85&gt;Z83," * RITA Long-Term PMTCT POST ANC1  "&amp;$Z$20&amp;" "&amp;$Z$21&amp;" is more than RTRI Long-Term PMTCT POST ANC1  "&amp;CHAR(10),""),IF(AA85&gt;AA83," * RITA Long-Term PMTCT POST ANC1  "&amp;$Z$20&amp;" "&amp;$AA$21&amp;" is more than RTRI Long-Term PMTCT POST ANC1  "&amp;CHAR(10),""))</f>
        <v/>
      </c>
      <c r="AL83" s="1177"/>
      <c r="AM83" s="31"/>
      <c r="AN83" s="355"/>
      <c r="AO83" s="13">
        <v>33</v>
      </c>
      <c r="AP83" s="81"/>
      <c r="AQ83" s="82"/>
    </row>
    <row r="84" spans="1:43" s="83" customFormat="1" ht="26.25" hidden="1" x14ac:dyDescent="0.4">
      <c r="A84" s="1157"/>
      <c r="B84" s="1" t="s">
        <v>1134</v>
      </c>
      <c r="C84" s="563" t="s">
        <v>1142</v>
      </c>
      <c r="D84" s="135"/>
      <c r="E84" s="78"/>
      <c r="F84" s="78"/>
      <c r="G84" s="78"/>
      <c r="H84" s="78"/>
      <c r="I84" s="78"/>
      <c r="J84" s="78"/>
      <c r="K84" s="370"/>
      <c r="L84" s="77"/>
      <c r="M84" s="236"/>
      <c r="N84" s="78"/>
      <c r="O84" s="236"/>
      <c r="P84" s="78"/>
      <c r="Q84" s="236"/>
      <c r="R84" s="78"/>
      <c r="S84" s="236"/>
      <c r="T84" s="78"/>
      <c r="U84" s="236"/>
      <c r="V84" s="78"/>
      <c r="W84" s="236"/>
      <c r="X84" s="78"/>
      <c r="Y84" s="236"/>
      <c r="Z84" s="78"/>
      <c r="AA84" s="495"/>
      <c r="AB84" s="375"/>
      <c r="AC84" s="345"/>
      <c r="AD84" s="345"/>
      <c r="AE84" s="345"/>
      <c r="AF84" s="345"/>
      <c r="AG84" s="345"/>
      <c r="AH84" s="345"/>
      <c r="AI84" s="302"/>
      <c r="AJ84" s="184"/>
      <c r="AK84" s="30"/>
      <c r="AL84" s="1177"/>
      <c r="AM84" s="31"/>
      <c r="AN84" s="355"/>
      <c r="AO84" s="13"/>
      <c r="AP84" s="81"/>
      <c r="AQ84" s="82"/>
    </row>
    <row r="85" spans="1:43" s="83" customFormat="1" ht="27" hidden="1" thickBot="1" x14ac:dyDescent="0.45">
      <c r="A85" s="1158"/>
      <c r="B85" s="356" t="s">
        <v>1135</v>
      </c>
      <c r="C85" s="563" t="s">
        <v>1143</v>
      </c>
      <c r="D85" s="492"/>
      <c r="E85" s="120"/>
      <c r="F85" s="120"/>
      <c r="G85" s="120"/>
      <c r="H85" s="120"/>
      <c r="I85" s="120"/>
      <c r="J85" s="120"/>
      <c r="K85" s="394"/>
      <c r="L85" s="103"/>
      <c r="M85" s="141"/>
      <c r="N85" s="102"/>
      <c r="O85" s="141"/>
      <c r="P85" s="102"/>
      <c r="Q85" s="141"/>
      <c r="R85" s="102"/>
      <c r="S85" s="141"/>
      <c r="T85" s="102"/>
      <c r="U85" s="141"/>
      <c r="V85" s="102"/>
      <c r="W85" s="141"/>
      <c r="X85" s="102"/>
      <c r="Y85" s="141"/>
      <c r="Z85" s="102"/>
      <c r="AA85" s="496"/>
      <c r="AB85" s="375"/>
      <c r="AC85" s="345"/>
      <c r="AD85" s="345"/>
      <c r="AE85" s="345"/>
      <c r="AF85" s="345"/>
      <c r="AG85" s="345"/>
      <c r="AH85" s="345"/>
      <c r="AI85" s="302"/>
      <c r="AJ85" s="184"/>
      <c r="AK85" s="30"/>
      <c r="AL85" s="1177"/>
      <c r="AM85" s="31"/>
      <c r="AN85" s="355"/>
      <c r="AO85" s="13"/>
      <c r="AP85" s="81"/>
      <c r="AQ85" s="82"/>
    </row>
    <row r="86" spans="1:43" s="83" customFormat="1" ht="25.5" hidden="1" customHeight="1" x14ac:dyDescent="0.4">
      <c r="A86" s="1156" t="s">
        <v>982</v>
      </c>
      <c r="B86" s="1" t="s">
        <v>1132</v>
      </c>
      <c r="C86" s="563" t="s">
        <v>976</v>
      </c>
      <c r="D86" s="134"/>
      <c r="E86" s="99"/>
      <c r="F86" s="99"/>
      <c r="G86" s="99"/>
      <c r="H86" s="99"/>
      <c r="I86" s="99"/>
      <c r="J86" s="99"/>
      <c r="K86" s="363"/>
      <c r="L86" s="236"/>
      <c r="M86" s="236"/>
      <c r="N86" s="236"/>
      <c r="O86" s="236"/>
      <c r="P86" s="236"/>
      <c r="Q86" s="236"/>
      <c r="R86" s="236"/>
      <c r="S86" s="236"/>
      <c r="T86" s="236"/>
      <c r="U86" s="236"/>
      <c r="V86" s="236"/>
      <c r="W86" s="236"/>
      <c r="X86" s="236"/>
      <c r="Y86" s="236"/>
      <c r="Z86" s="236"/>
      <c r="AA86" s="236"/>
      <c r="AB86" s="375"/>
      <c r="AC86" s="345"/>
      <c r="AD86" s="345"/>
      <c r="AE86" s="345"/>
      <c r="AF86" s="345"/>
      <c r="AG86" s="345"/>
      <c r="AH86" s="345"/>
      <c r="AI86" s="302"/>
      <c r="AJ86" s="188">
        <f t="shared" si="41"/>
        <v>0</v>
      </c>
      <c r="AK86" s="30" t="str">
        <f>CONCATENATE(IF(D88&gt;D86," * RITA RECENT STI Clinic "&amp;$D$20&amp;" "&amp;$D$21&amp;" is more than RTRI RECENT STI Clinic "&amp;CHAR(10),""),IF(E88&gt;E86," * RITA RECENT STI Clinic "&amp;$D$20&amp;" "&amp;$E$21&amp;" is more than RTRI RECENT STI Clinic "&amp;CHAR(10),""),IF(F88&gt;F86," * RITA RECENT STI Clinic "&amp;$F$20&amp;" "&amp;$F$21&amp;" is more than RTRI RECENT STI Clinic "&amp;CHAR(10),""),IF(G88&gt;G86," * RITA RECENT STI Clinic "&amp;$F$20&amp;" "&amp;$G$21&amp;" is more than RTRI RECENT STI Clinic "&amp;CHAR(10),""),IF(H88&gt;H86," * RITA RECENT STI Clinic "&amp;$H$20&amp;" "&amp;$H$21&amp;" is more than RTRI RECENT STI Clinic "&amp;CHAR(10),""),IF(I88&gt;I86," * RITA RECENT STI Clinic "&amp;$H$20&amp;" "&amp;$I$21&amp;" is more than RTRI RECENT STI Clinic "&amp;CHAR(10),""),IF(J88&gt;J86," * RITA RECENT STI Clinic "&amp;$J$20&amp;" "&amp;$J$21&amp;" is more than RTRI RECENT STI Clinic "&amp;CHAR(10),""),IF(K88&gt;K86," * RITA RECENT STI Clinic "&amp;$J$20&amp;" "&amp;$K$21&amp;" is more than RTRI RECENT STI Clinic "&amp;CHAR(10),""),IF(L88&gt;L86," * RITA RECENT STI Clinic "&amp;$L$20&amp;" "&amp;$L$21&amp;" is more than RTRI RECENT STI Clinic "&amp;CHAR(10),""),IF(M88&gt;M86," * RITA RECENT STI Clinic "&amp;$L$20&amp;" "&amp;$M$21&amp;" is more than RTRI RECENT STI Clinic "&amp;CHAR(10),""),IF(N88&gt;N86," * RITA RECENT STI Clinic "&amp;$N$20&amp;" "&amp;$N$21&amp;" is more than RTRI RECENT STI Clinic "&amp;CHAR(10),""),IF(O88&gt;O86," * RITA RECENT STI Clinic "&amp;$N$20&amp;" "&amp;$O$21&amp;" is more than RTRI RECENT STI Clinic "&amp;CHAR(10),""),IF(P88&gt;P86," * RITA RECENT STI Clinic "&amp;$P$20&amp;" "&amp;$P$21&amp;" is more than RTRI RECENT STI Clinic "&amp;CHAR(10),""),IF(Q88&gt;Q86," * RITA RECENT STI Clinic "&amp;$P$20&amp;" "&amp;$Q$21&amp;" is more than RTRI RECENT STI Clinic "&amp;CHAR(10),""),IF(R88&gt;R86," * RITA RECENT STI Clinic "&amp;$R$20&amp;" "&amp;$R$21&amp;" is more than RTRI RECENT STI Clinic "&amp;CHAR(10),""),IF(S88&gt;S86," * RITA RECENT STI Clinic "&amp;$R$20&amp;" "&amp;$S$21&amp;" is more than RTRI RECENT STI Clinic "&amp;CHAR(10),""),IF(T88&gt;T86," * RITA RECENT STI Clinic "&amp;$T$20&amp;" "&amp;$T$21&amp;" is more than RTRI RECENT STI Clinic "&amp;CHAR(10),""),IF(U88&gt;U86," * RITA RECENT STI Clinic "&amp;$T$20&amp;" "&amp;$U$21&amp;" is more than RTRI RECENT STI Clinic "&amp;CHAR(10),""),IF(V88&gt;V86," * RITA RECENT STI Clinic "&amp;$V$20&amp;" "&amp;$V$21&amp;" is more than RTRI RECENT STI Clinic "&amp;CHAR(10),""),IF(W88&gt;W86," * RITA RECENT STI Clinic "&amp;$V$20&amp;" "&amp;$W$21&amp;" is more than RTRI RECENT STI Clinic "&amp;CHAR(10),""),IF(X88&gt;X86," * RITA RECENT STI Clinic "&amp;$X$20&amp;" "&amp;$X$21&amp;" is more than RTRI RECENT STI Clinic "&amp;CHAR(10),""),IF(Y88&gt;Y86," * RITA RECENT STI Clinic "&amp;$X$20&amp;" "&amp;$Y$21&amp;" is more than RTRI RECENT STI Clinic "&amp;CHAR(10),""),IF(Z88&gt;Z86," * RITA RECENT STI Clinic "&amp;$Z$20&amp;" "&amp;$Z$21&amp;" is more than RTRI RECENT STI Clinic "&amp;CHAR(10),""),IF(AA88&gt;AA86," * RITA RECENT STI Clinic "&amp;$Z$20&amp;" "&amp;$AA$21&amp;" is more than RTRI RECENT STI Clinic "&amp;CHAR(10),""))</f>
        <v/>
      </c>
      <c r="AL86" s="1177"/>
      <c r="AM86" s="31"/>
      <c r="AN86" s="355"/>
      <c r="AO86" s="13">
        <v>32</v>
      </c>
      <c r="AP86" s="81"/>
      <c r="AQ86" s="82"/>
    </row>
    <row r="87" spans="1:43" s="83" customFormat="1" ht="27" hidden="1" thickBot="1" x14ac:dyDescent="0.45">
      <c r="A87" s="1157"/>
      <c r="B87" s="356" t="s">
        <v>1133</v>
      </c>
      <c r="C87" s="563" t="s">
        <v>977</v>
      </c>
      <c r="D87" s="135"/>
      <c r="E87" s="78"/>
      <c r="F87" s="78"/>
      <c r="G87" s="78"/>
      <c r="H87" s="78"/>
      <c r="I87" s="78"/>
      <c r="J87" s="78"/>
      <c r="K87" s="370"/>
      <c r="L87" s="141"/>
      <c r="M87" s="141"/>
      <c r="N87" s="141"/>
      <c r="O87" s="141"/>
      <c r="P87" s="141"/>
      <c r="Q87" s="141"/>
      <c r="R87" s="141"/>
      <c r="S87" s="141"/>
      <c r="T87" s="141"/>
      <c r="U87" s="141"/>
      <c r="V87" s="141"/>
      <c r="W87" s="141"/>
      <c r="X87" s="141"/>
      <c r="Y87" s="141"/>
      <c r="Z87" s="141"/>
      <c r="AA87" s="141"/>
      <c r="AB87" s="375"/>
      <c r="AC87" s="345"/>
      <c r="AD87" s="345"/>
      <c r="AE87" s="345"/>
      <c r="AF87" s="345"/>
      <c r="AG87" s="345"/>
      <c r="AH87" s="345"/>
      <c r="AI87" s="302"/>
      <c r="AJ87" s="192">
        <f t="shared" si="41"/>
        <v>0</v>
      </c>
      <c r="AK87" s="30" t="str">
        <f>CONCATENATE(IF(D89&gt;D87," * RITA Long-Term STI Clinic  "&amp;$D$20&amp;" "&amp;$D$21&amp;" is more than RTRI Long-Term STI Clinic  "&amp;CHAR(10),""),IF(E89&gt;E87," * RITA Long-Term STI Clinic  "&amp;$D$20&amp;" "&amp;$E$21&amp;" is more than RTRI Long-Term STI Clinic  "&amp;CHAR(10),""),IF(F89&gt;F87," * RITA Long-Term STI Clinic  "&amp;$F$20&amp;" "&amp;$F$21&amp;" is more than RTRI Long-Term STI Clinic  "&amp;CHAR(10),""),IF(G89&gt;G87," * RITA Long-Term STI Clinic  "&amp;$F$20&amp;" "&amp;$G$21&amp;" is more than RTRI Long-Term STI Clinic  "&amp;CHAR(10),""),IF(H89&gt;H87," * RITA Long-Term STI Clinic  "&amp;$H$20&amp;" "&amp;$H$21&amp;" is more than RTRI Long-Term STI Clinic  "&amp;CHAR(10),""),IF(I89&gt;I87," * RITA Long-Term STI Clinic  "&amp;$H$20&amp;" "&amp;$I$21&amp;" is more than RTRI Long-Term STI Clinic  "&amp;CHAR(10),""),IF(J89&gt;J87," * RITA Long-Term STI Clinic  "&amp;$J$20&amp;" "&amp;$J$21&amp;" is more than RTRI Long-Term STI Clinic  "&amp;CHAR(10),""),IF(K89&gt;K87," * RITA Long-Term STI Clinic  "&amp;$J$20&amp;" "&amp;$K$21&amp;" is more than RTRI Long-Term STI Clinic  "&amp;CHAR(10),""),IF(L89&gt;L87," * RITA Long-Term STI Clinic  "&amp;$L$20&amp;" "&amp;$L$21&amp;" is more than RTRI Long-Term STI Clinic  "&amp;CHAR(10),""),IF(M89&gt;M87," * RITA Long-Term STI Clinic  "&amp;$L$20&amp;" "&amp;$M$21&amp;" is more than RTRI Long-Term STI Clinic  "&amp;CHAR(10),""),IF(N89&gt;N87," * RITA Long-Term STI Clinic  "&amp;$N$20&amp;" "&amp;$N$21&amp;" is more than RTRI Long-Term STI Clinic  "&amp;CHAR(10),""),IF(O89&gt;O87," * RITA Long-Term STI Clinic  "&amp;$N$20&amp;" "&amp;$O$21&amp;" is more than RTRI Long-Term STI Clinic  "&amp;CHAR(10),""),IF(P89&gt;P87," * RITA Long-Term STI Clinic  "&amp;$P$20&amp;" "&amp;$P$21&amp;" is more than RTRI Long-Term STI Clinic  "&amp;CHAR(10),""),IF(Q89&gt;Q87," * RITA Long-Term STI Clinic  "&amp;$P$20&amp;" "&amp;$Q$21&amp;" is more than RTRI Long-Term STI Clinic  "&amp;CHAR(10),""),IF(R89&gt;R87," * RITA Long-Term STI Clinic  "&amp;$R$20&amp;" "&amp;$R$21&amp;" is more than RTRI Long-Term STI Clinic  "&amp;CHAR(10),""),IF(S89&gt;S87," * RITA Long-Term STI Clinic  "&amp;$R$20&amp;" "&amp;$S$21&amp;" is more than RTRI Long-Term STI Clinic  "&amp;CHAR(10),""),IF(T89&gt;T87," * RITA Long-Term STI Clinic  "&amp;$T$20&amp;" "&amp;$T$21&amp;" is more than RTRI Long-Term STI Clinic  "&amp;CHAR(10),""),IF(U89&gt;U87," * RITA Long-Term STI Clinic  "&amp;$T$20&amp;" "&amp;$U$21&amp;" is more than RTRI Long-Term STI Clinic  "&amp;CHAR(10),""),IF(V89&gt;V87," * RITA Long-Term STI Clinic  "&amp;$V$20&amp;" "&amp;$V$21&amp;" is more than RTRI Long-Term STI Clinic  "&amp;CHAR(10),""),IF(W89&gt;W87," * RITA Long-Term STI Clinic  "&amp;$V$20&amp;" "&amp;$W$21&amp;" is more than RTRI Long-Term STI Clinic  "&amp;CHAR(10),""),IF(X89&gt;X87," * RITA Long-Term STI Clinic  "&amp;$X$20&amp;" "&amp;$X$21&amp;" is more than RTRI Long-Term STI Clinic  "&amp;CHAR(10),""),IF(Y89&gt;Y87," * RITA Long-Term STI Clinic  "&amp;$X$20&amp;" "&amp;$Y$21&amp;" is more than RTRI Long-Term STI Clinic  "&amp;CHAR(10),""),IF(Z89&gt;Z87," * RITA Long-Term STI Clinic  "&amp;$Z$20&amp;" "&amp;$Z$21&amp;" is more than RTRI Long-Term STI Clinic  "&amp;CHAR(10),""),IF(AA89&gt;AA87," * RITA Long-Term STI Clinic  "&amp;$Z$20&amp;" "&amp;$AA$21&amp;" is more than RTRI Long-Term STI Clinic  "&amp;CHAR(10),""))</f>
        <v/>
      </c>
      <c r="AL87" s="1177"/>
      <c r="AM87" s="31"/>
      <c r="AN87" s="355"/>
      <c r="AO87" s="13">
        <v>33</v>
      </c>
      <c r="AP87" s="81"/>
      <c r="AQ87" s="82"/>
    </row>
    <row r="88" spans="1:43" s="83" customFormat="1" ht="26.25" hidden="1" x14ac:dyDescent="0.4">
      <c r="A88" s="1157"/>
      <c r="B88" s="1" t="s">
        <v>1134</v>
      </c>
      <c r="C88" s="563" t="s">
        <v>1144</v>
      </c>
      <c r="D88" s="135"/>
      <c r="E88" s="78"/>
      <c r="F88" s="78"/>
      <c r="G88" s="78"/>
      <c r="H88" s="78"/>
      <c r="I88" s="78"/>
      <c r="J88" s="78"/>
      <c r="K88" s="370"/>
      <c r="L88" s="236"/>
      <c r="M88" s="236"/>
      <c r="N88" s="236"/>
      <c r="O88" s="236"/>
      <c r="P88" s="236"/>
      <c r="Q88" s="236"/>
      <c r="R88" s="236"/>
      <c r="S88" s="236"/>
      <c r="T88" s="236"/>
      <c r="U88" s="236"/>
      <c r="V88" s="236"/>
      <c r="W88" s="236"/>
      <c r="X88" s="236"/>
      <c r="Y88" s="236"/>
      <c r="Z88" s="236"/>
      <c r="AA88" s="236"/>
      <c r="AB88" s="375"/>
      <c r="AC88" s="345"/>
      <c r="AD88" s="345"/>
      <c r="AE88" s="345"/>
      <c r="AF88" s="345"/>
      <c r="AG88" s="345"/>
      <c r="AH88" s="345"/>
      <c r="AI88" s="302"/>
      <c r="AJ88" s="184"/>
      <c r="AK88" s="30"/>
      <c r="AL88" s="1177"/>
      <c r="AM88" s="31"/>
      <c r="AN88" s="355"/>
      <c r="AO88" s="13"/>
      <c r="AP88" s="81"/>
      <c r="AQ88" s="82"/>
    </row>
    <row r="89" spans="1:43" s="83" customFormat="1" ht="27" hidden="1" thickBot="1" x14ac:dyDescent="0.45">
      <c r="A89" s="1158"/>
      <c r="B89" s="356" t="s">
        <v>1135</v>
      </c>
      <c r="C89" s="563" t="s">
        <v>1145</v>
      </c>
      <c r="D89" s="119"/>
      <c r="E89" s="102"/>
      <c r="F89" s="102"/>
      <c r="G89" s="102"/>
      <c r="H89" s="102"/>
      <c r="I89" s="102"/>
      <c r="J89" s="102"/>
      <c r="K89" s="364"/>
      <c r="L89" s="248"/>
      <c r="M89" s="248"/>
      <c r="N89" s="248"/>
      <c r="O89" s="248"/>
      <c r="P89" s="248"/>
      <c r="Q89" s="248"/>
      <c r="R89" s="248"/>
      <c r="S89" s="248"/>
      <c r="T89" s="248"/>
      <c r="U89" s="248"/>
      <c r="V89" s="248"/>
      <c r="W89" s="248"/>
      <c r="X89" s="248"/>
      <c r="Y89" s="248"/>
      <c r="Z89" s="248"/>
      <c r="AA89" s="248"/>
      <c r="AB89" s="375"/>
      <c r="AC89" s="345"/>
      <c r="AD89" s="345"/>
      <c r="AE89" s="345"/>
      <c r="AF89" s="345"/>
      <c r="AG89" s="345"/>
      <c r="AH89" s="345"/>
      <c r="AI89" s="302"/>
      <c r="AJ89" s="184"/>
      <c r="AK89" s="30"/>
      <c r="AL89" s="1177"/>
      <c r="AM89" s="31"/>
      <c r="AN89" s="355"/>
      <c r="AO89" s="13"/>
      <c r="AP89" s="81"/>
      <c r="AQ89" s="82"/>
    </row>
    <row r="90" spans="1:43" s="83" customFormat="1" ht="25.5" hidden="1" customHeight="1" x14ac:dyDescent="0.4">
      <c r="A90" s="1156" t="s">
        <v>983</v>
      </c>
      <c r="B90" s="1" t="s">
        <v>1132</v>
      </c>
      <c r="C90" s="563" t="s">
        <v>990</v>
      </c>
      <c r="D90" s="134"/>
      <c r="E90" s="99"/>
      <c r="F90" s="99"/>
      <c r="G90" s="99"/>
      <c r="H90" s="99"/>
      <c r="I90" s="99"/>
      <c r="J90" s="99"/>
      <c r="K90" s="363"/>
      <c r="L90" s="236"/>
      <c r="M90" s="236"/>
      <c r="N90" s="236"/>
      <c r="O90" s="236"/>
      <c r="P90" s="236"/>
      <c r="Q90" s="236"/>
      <c r="R90" s="236"/>
      <c r="S90" s="236"/>
      <c r="T90" s="236"/>
      <c r="U90" s="236"/>
      <c r="V90" s="236"/>
      <c r="W90" s="236"/>
      <c r="X90" s="236"/>
      <c r="Y90" s="236"/>
      <c r="Z90" s="236"/>
      <c r="AA90" s="236"/>
      <c r="AB90" s="375"/>
      <c r="AC90" s="345"/>
      <c r="AD90" s="345"/>
      <c r="AE90" s="345"/>
      <c r="AF90" s="345"/>
      <c r="AG90" s="345"/>
      <c r="AH90" s="345"/>
      <c r="AI90" s="302"/>
      <c r="AJ90" s="188">
        <f t="shared" si="41"/>
        <v>0</v>
      </c>
      <c r="AK90" s="30" t="str">
        <f>CONCATENATE(IF(D92&gt;D90," * RITA RECENT TB Clinics "&amp;$D$20&amp;" "&amp;$D$21&amp;" is more than RTRI RECENT TB Clinics "&amp;CHAR(10),""),IF(E92&gt;E90," * RITA RECENT TB Clinics "&amp;$D$20&amp;" "&amp;$E$21&amp;" is more than RTRI RECENT TB Clinics "&amp;CHAR(10),""),IF(F92&gt;F90," * RITA RECENT TB Clinics "&amp;$F$20&amp;" "&amp;$F$21&amp;" is more than RTRI RECENT TB Clinics "&amp;CHAR(10),""),IF(G92&gt;G90," * RITA RECENT TB Clinics "&amp;$F$20&amp;" "&amp;$G$21&amp;" is more than RTRI RECENT TB Clinics "&amp;CHAR(10),""),IF(H92&gt;H90," * RITA RECENT TB Clinics "&amp;$H$20&amp;" "&amp;$H$21&amp;" is more than RTRI RECENT TB Clinics "&amp;CHAR(10),""),IF(I92&gt;I90," * RITA RECENT TB Clinics "&amp;$H$20&amp;" "&amp;$I$21&amp;" is more than RTRI RECENT TB Clinics "&amp;CHAR(10),""),IF(J92&gt;J90," * RITA RECENT TB Clinics "&amp;$J$20&amp;" "&amp;$J$21&amp;" is more than RTRI RECENT TB Clinics "&amp;CHAR(10),""),IF(K92&gt;K90," * RITA RECENT TB Clinics "&amp;$J$20&amp;" "&amp;$K$21&amp;" is more than RTRI RECENT TB Clinics "&amp;CHAR(10),""),IF(L92&gt;L90," * RITA RECENT TB Clinics "&amp;$L$20&amp;" "&amp;$L$21&amp;" is more than RTRI RECENT TB Clinics "&amp;CHAR(10),""),IF(M92&gt;M90," * RITA RECENT TB Clinics "&amp;$L$20&amp;" "&amp;$M$21&amp;" is more than RTRI RECENT TB Clinics "&amp;CHAR(10),""),IF(N92&gt;N90," * RITA RECENT TB Clinics "&amp;$N$20&amp;" "&amp;$N$21&amp;" is more than RTRI RECENT TB Clinics "&amp;CHAR(10),""),IF(O92&gt;O90," * RITA RECENT TB Clinics "&amp;$N$20&amp;" "&amp;$O$21&amp;" is more than RTRI RECENT TB Clinics "&amp;CHAR(10),""),IF(P92&gt;P90," * RITA RECENT TB Clinics "&amp;$P$20&amp;" "&amp;$P$21&amp;" is more than RTRI RECENT TB Clinics "&amp;CHAR(10),""),IF(Q92&gt;Q90," * RITA RECENT TB Clinics "&amp;$P$20&amp;" "&amp;$Q$21&amp;" is more than RTRI RECENT TB Clinics "&amp;CHAR(10),""),IF(R92&gt;R90," * RITA RECENT TB Clinics "&amp;$R$20&amp;" "&amp;$R$21&amp;" is more than RTRI RECENT TB Clinics "&amp;CHAR(10),""),IF(S92&gt;S90," * RITA RECENT TB Clinics "&amp;$R$20&amp;" "&amp;$S$21&amp;" is more than RTRI RECENT TB Clinics "&amp;CHAR(10),""),IF(T92&gt;T90," * RITA RECENT TB Clinics "&amp;$T$20&amp;" "&amp;$T$21&amp;" is more than RTRI RECENT TB Clinics "&amp;CHAR(10),""),IF(U92&gt;U90," * RITA RECENT TB Clinics "&amp;$T$20&amp;" "&amp;$U$21&amp;" is more than RTRI RECENT TB Clinics "&amp;CHAR(10),""),IF(V92&gt;V90," * RITA RECENT TB Clinics "&amp;$V$20&amp;" "&amp;$V$21&amp;" is more than RTRI RECENT TB Clinics "&amp;CHAR(10),""),IF(W92&gt;W90," * RITA RECENT TB Clinics "&amp;$V$20&amp;" "&amp;$W$21&amp;" is more than RTRI RECENT TB Clinics "&amp;CHAR(10),""),IF(X92&gt;X90," * RITA RECENT TB Clinics "&amp;$X$20&amp;" "&amp;$X$21&amp;" is more than RTRI RECENT TB Clinics "&amp;CHAR(10),""),IF(Y92&gt;Y90," * RITA RECENT TB Clinics "&amp;$X$20&amp;" "&amp;$Y$21&amp;" is more than RTRI RECENT TB Clinics "&amp;CHAR(10),""),IF(Z92&gt;Z90," * RITA RECENT TB Clinics "&amp;$Z$20&amp;" "&amp;$Z$21&amp;" is more than RTRI RECENT TB Clinics "&amp;CHAR(10),""),IF(AA92&gt;AA90," * RITA RECENT TB Clinics "&amp;$Z$20&amp;" "&amp;$AA$21&amp;" is more than RTRI RECENT TB Clinics "&amp;CHAR(10),""))</f>
        <v/>
      </c>
      <c r="AL90" s="1177"/>
      <c r="AM90" s="31"/>
      <c r="AN90" s="355"/>
      <c r="AO90" s="13">
        <v>32</v>
      </c>
      <c r="AP90" s="81"/>
      <c r="AQ90" s="82"/>
    </row>
    <row r="91" spans="1:43" s="83" customFormat="1" ht="27" hidden="1" thickBot="1" x14ac:dyDescent="0.45">
      <c r="A91" s="1157"/>
      <c r="B91" s="356" t="s">
        <v>1133</v>
      </c>
      <c r="C91" s="565" t="s">
        <v>991</v>
      </c>
      <c r="D91" s="135"/>
      <c r="E91" s="78"/>
      <c r="F91" s="78"/>
      <c r="G91" s="78"/>
      <c r="H91" s="78"/>
      <c r="I91" s="78"/>
      <c r="J91" s="78"/>
      <c r="K91" s="370"/>
      <c r="L91" s="141"/>
      <c r="M91" s="141"/>
      <c r="N91" s="141"/>
      <c r="O91" s="141"/>
      <c r="P91" s="141"/>
      <c r="Q91" s="141"/>
      <c r="R91" s="141"/>
      <c r="S91" s="141"/>
      <c r="T91" s="141"/>
      <c r="U91" s="141"/>
      <c r="V91" s="141"/>
      <c r="W91" s="141"/>
      <c r="X91" s="141"/>
      <c r="Y91" s="141"/>
      <c r="Z91" s="141"/>
      <c r="AA91" s="141"/>
      <c r="AB91" s="375"/>
      <c r="AC91" s="345"/>
      <c r="AD91" s="345"/>
      <c r="AE91" s="345"/>
      <c r="AF91" s="345"/>
      <c r="AG91" s="345"/>
      <c r="AH91" s="345"/>
      <c r="AI91" s="302"/>
      <c r="AJ91" s="192">
        <f t="shared" si="41"/>
        <v>0</v>
      </c>
      <c r="AK91" s="30" t="str">
        <f>CONCATENATE(IF(D93&gt;D91," * RITA Long-Term TB Clinics  "&amp;$D$20&amp;" "&amp;$D$21&amp;" is more than RTRI Long-Term TB Clinics  "&amp;CHAR(10),""),IF(E93&gt;E91," * RITA Long-Term TB Clinics  "&amp;$D$20&amp;" "&amp;$E$21&amp;" is more than RTRI Long-Term TB Clinics  "&amp;CHAR(10),""),IF(F93&gt;F91," * RITA Long-Term TB Clinics  "&amp;$F$20&amp;" "&amp;$F$21&amp;" is more than RTRI Long-Term TB Clinics  "&amp;CHAR(10),""),IF(G93&gt;G91," * RITA Long-Term TB Clinics  "&amp;$F$20&amp;" "&amp;$G$21&amp;" is more than RTRI Long-Term TB Clinics  "&amp;CHAR(10),""),IF(H93&gt;H91," * RITA Long-Term TB Clinics  "&amp;$H$20&amp;" "&amp;$H$21&amp;" is more than RTRI Long-Term TB Clinics  "&amp;CHAR(10),""),IF(I93&gt;I91," * RITA Long-Term TB Clinics  "&amp;$H$20&amp;" "&amp;$I$21&amp;" is more than RTRI Long-Term TB Clinics  "&amp;CHAR(10),""),IF(J93&gt;J91," * RITA Long-Term TB Clinics  "&amp;$J$20&amp;" "&amp;$J$21&amp;" is more than RTRI Long-Term TB Clinics  "&amp;CHAR(10),""),IF(K93&gt;K91," * RITA Long-Term TB Clinics  "&amp;$J$20&amp;" "&amp;$K$21&amp;" is more than RTRI Long-Term TB Clinics  "&amp;CHAR(10),""),IF(L93&gt;L91," * RITA Long-Term TB Clinics  "&amp;$L$20&amp;" "&amp;$L$21&amp;" is more than RTRI Long-Term TB Clinics  "&amp;CHAR(10),""),IF(M93&gt;M91," * RITA Long-Term TB Clinics  "&amp;$L$20&amp;" "&amp;$M$21&amp;" is more than RTRI Long-Term TB Clinics  "&amp;CHAR(10),""),IF(N93&gt;N91," * RITA Long-Term TB Clinics  "&amp;$N$20&amp;" "&amp;$N$21&amp;" is more than RTRI Long-Term TB Clinics  "&amp;CHAR(10),""),IF(O93&gt;O91," * RITA Long-Term TB Clinics  "&amp;$N$20&amp;" "&amp;$O$21&amp;" is more than RTRI Long-Term TB Clinics  "&amp;CHAR(10),""),IF(P93&gt;P91," * RITA Long-Term TB Clinics  "&amp;$P$20&amp;" "&amp;$P$21&amp;" is more than RTRI Long-Term TB Clinics  "&amp;CHAR(10),""),IF(Q93&gt;Q91," * RITA Long-Term TB Clinics  "&amp;$P$20&amp;" "&amp;$Q$21&amp;" is more than RTRI Long-Term TB Clinics  "&amp;CHAR(10),""),IF(R93&gt;R91," * RITA Long-Term TB Clinics  "&amp;$R$20&amp;" "&amp;$R$21&amp;" is more than RTRI Long-Term TB Clinics  "&amp;CHAR(10),""),IF(S93&gt;S91," * RITA Long-Term TB Clinics  "&amp;$R$20&amp;" "&amp;$S$21&amp;" is more than RTRI Long-Term TB Clinics  "&amp;CHAR(10),""),IF(T93&gt;T91," * RITA Long-Term TB Clinics  "&amp;$T$20&amp;" "&amp;$T$21&amp;" is more than RTRI Long-Term TB Clinics  "&amp;CHAR(10),""),IF(U93&gt;U91," * RITA Long-Term TB Clinics  "&amp;$T$20&amp;" "&amp;$U$21&amp;" is more than RTRI Long-Term TB Clinics  "&amp;CHAR(10),""),IF(V93&gt;V91," * RITA Long-Term TB Clinics  "&amp;$V$20&amp;" "&amp;$V$21&amp;" is more than RTRI Long-Term TB Clinics  "&amp;CHAR(10),""),IF(W93&gt;W91," * RITA Long-Term TB Clinics  "&amp;$V$20&amp;" "&amp;$W$21&amp;" is more than RTRI Long-Term TB Clinics  "&amp;CHAR(10),""),IF(X93&gt;X91," * RITA Long-Term TB Clinics  "&amp;$X$20&amp;" "&amp;$X$21&amp;" is more than RTRI Long-Term TB Clinics  "&amp;CHAR(10),""),IF(Y93&gt;Y91," * RITA Long-Term TB Clinics  "&amp;$X$20&amp;" "&amp;$Y$21&amp;" is more than RTRI Long-Term TB Clinics  "&amp;CHAR(10),""),IF(Z93&gt;Z91," * RITA Long-Term TB Clinics  "&amp;$Z$20&amp;" "&amp;$Z$21&amp;" is more than RTRI Long-Term TB Clinics  "&amp;CHAR(10),""),IF(AA93&gt;AA91," * RITA Long-Term TB Clinics  "&amp;$Z$20&amp;" "&amp;$AA$21&amp;" is more than RTRI Long-Term TB Clinics  "&amp;CHAR(10),""))</f>
        <v/>
      </c>
      <c r="AL91" s="1177"/>
      <c r="AM91" s="31"/>
      <c r="AN91" s="355"/>
      <c r="AO91" s="13">
        <v>33</v>
      </c>
      <c r="AP91" s="81"/>
      <c r="AQ91" s="82"/>
    </row>
    <row r="92" spans="1:43" s="83" customFormat="1" ht="26.25" hidden="1" x14ac:dyDescent="0.4">
      <c r="A92" s="1157"/>
      <c r="B92" s="1" t="s">
        <v>1134</v>
      </c>
      <c r="C92" s="563" t="s">
        <v>1146</v>
      </c>
      <c r="D92" s="135"/>
      <c r="E92" s="78"/>
      <c r="F92" s="78"/>
      <c r="G92" s="78"/>
      <c r="H92" s="78"/>
      <c r="I92" s="78"/>
      <c r="J92" s="78"/>
      <c r="K92" s="370"/>
      <c r="L92" s="236"/>
      <c r="M92" s="236"/>
      <c r="N92" s="236"/>
      <c r="O92" s="236"/>
      <c r="P92" s="236"/>
      <c r="Q92" s="236"/>
      <c r="R92" s="236"/>
      <c r="S92" s="236"/>
      <c r="T92" s="236"/>
      <c r="U92" s="236"/>
      <c r="V92" s="236"/>
      <c r="W92" s="236"/>
      <c r="X92" s="236"/>
      <c r="Y92" s="236"/>
      <c r="Z92" s="236"/>
      <c r="AA92" s="236"/>
      <c r="AB92" s="375"/>
      <c r="AC92" s="345"/>
      <c r="AD92" s="345"/>
      <c r="AE92" s="345"/>
      <c r="AF92" s="345"/>
      <c r="AG92" s="345"/>
      <c r="AH92" s="345"/>
      <c r="AI92" s="302"/>
      <c r="AJ92" s="184"/>
      <c r="AK92" s="30"/>
      <c r="AL92" s="1177"/>
      <c r="AM92" s="31"/>
      <c r="AN92" s="355"/>
      <c r="AO92" s="13"/>
      <c r="AP92" s="81"/>
      <c r="AQ92" s="82"/>
    </row>
    <row r="93" spans="1:43" s="83" customFormat="1" ht="27" hidden="1" thickBot="1" x14ac:dyDescent="0.45">
      <c r="A93" s="1158"/>
      <c r="B93" s="356" t="s">
        <v>1135</v>
      </c>
      <c r="C93" s="565" t="s">
        <v>1147</v>
      </c>
      <c r="D93" s="119"/>
      <c r="E93" s="102"/>
      <c r="F93" s="102"/>
      <c r="G93" s="102"/>
      <c r="H93" s="102"/>
      <c r="I93" s="102"/>
      <c r="J93" s="102"/>
      <c r="K93" s="364"/>
      <c r="L93" s="248"/>
      <c r="M93" s="248"/>
      <c r="N93" s="248"/>
      <c r="O93" s="248"/>
      <c r="P93" s="248"/>
      <c r="Q93" s="248"/>
      <c r="R93" s="248"/>
      <c r="S93" s="248"/>
      <c r="T93" s="248"/>
      <c r="U93" s="248"/>
      <c r="V93" s="248"/>
      <c r="W93" s="248"/>
      <c r="X93" s="248"/>
      <c r="Y93" s="248"/>
      <c r="Z93" s="248"/>
      <c r="AA93" s="248"/>
      <c r="AB93" s="375"/>
      <c r="AC93" s="345"/>
      <c r="AD93" s="345"/>
      <c r="AE93" s="345"/>
      <c r="AF93" s="345"/>
      <c r="AG93" s="345"/>
      <c r="AH93" s="345"/>
      <c r="AI93" s="302"/>
      <c r="AJ93" s="184"/>
      <c r="AK93" s="30"/>
      <c r="AL93" s="1177"/>
      <c r="AM93" s="31"/>
      <c r="AN93" s="355"/>
      <c r="AO93" s="13"/>
      <c r="AP93" s="81"/>
      <c r="AQ93" s="82"/>
    </row>
    <row r="94" spans="1:43" s="83" customFormat="1" ht="25.5" hidden="1" customHeight="1" x14ac:dyDescent="0.4">
      <c r="A94" s="1156" t="s">
        <v>984</v>
      </c>
      <c r="B94" s="1" t="s">
        <v>1132</v>
      </c>
      <c r="C94" s="563" t="s">
        <v>992</v>
      </c>
      <c r="D94" s="134"/>
      <c r="E94" s="99"/>
      <c r="F94" s="99"/>
      <c r="G94" s="99"/>
      <c r="H94" s="99"/>
      <c r="I94" s="99"/>
      <c r="J94" s="99"/>
      <c r="K94" s="363"/>
      <c r="L94" s="236"/>
      <c r="M94" s="236"/>
      <c r="N94" s="236"/>
      <c r="O94" s="236"/>
      <c r="P94" s="236"/>
      <c r="Q94" s="236"/>
      <c r="R94" s="236"/>
      <c r="S94" s="236"/>
      <c r="T94" s="236"/>
      <c r="U94" s="236"/>
      <c r="V94" s="236"/>
      <c r="W94" s="236"/>
      <c r="X94" s="236"/>
      <c r="Y94" s="236"/>
      <c r="Z94" s="236"/>
      <c r="AA94" s="236"/>
      <c r="AB94" s="375"/>
      <c r="AC94" s="345"/>
      <c r="AD94" s="345"/>
      <c r="AE94" s="345"/>
      <c r="AF94" s="345"/>
      <c r="AG94" s="345"/>
      <c r="AH94" s="345"/>
      <c r="AI94" s="302"/>
      <c r="AJ94" s="188">
        <f t="shared" si="41"/>
        <v>0</v>
      </c>
      <c r="AK94" s="30" t="str">
        <f>CONCATENATE(IF(D96&gt;D94," * RITA RECENT VCT "&amp;$D$20&amp;" "&amp;$D$21&amp;" is more than RTRI RECENT VCT "&amp;CHAR(10),""),IF(E96&gt;E94," * RITA RECENT VCT "&amp;$D$20&amp;" "&amp;$E$21&amp;" is more than RTRI RECENT VCT "&amp;CHAR(10),""),IF(F96&gt;F94," * RITA RECENT VCT "&amp;$F$20&amp;" "&amp;$F$21&amp;" is more than RTRI RECENT VCT "&amp;CHAR(10),""),IF(G96&gt;G94," * RITA RECENT VCT "&amp;$F$20&amp;" "&amp;$G$21&amp;" is more than RTRI RECENT VCT "&amp;CHAR(10),""),IF(H96&gt;H94," * RITA RECENT VCT "&amp;$H$20&amp;" "&amp;$H$21&amp;" is more than RTRI RECENT VCT "&amp;CHAR(10),""),IF(I96&gt;I94," * RITA RECENT VCT "&amp;$H$20&amp;" "&amp;$I$21&amp;" is more than RTRI RECENT VCT "&amp;CHAR(10),""),IF(J96&gt;J94," * RITA RECENT VCT "&amp;$J$20&amp;" "&amp;$J$21&amp;" is more than RTRI RECENT VCT "&amp;CHAR(10),""),IF(K96&gt;K94," * RITA RECENT VCT "&amp;$J$20&amp;" "&amp;$K$21&amp;" is more than RTRI RECENT VCT "&amp;CHAR(10),""),IF(L96&gt;L94," * RITA RECENT VCT "&amp;$L$20&amp;" "&amp;$L$21&amp;" is more than RTRI RECENT VCT "&amp;CHAR(10),""),IF(M96&gt;M94," * RITA RECENT VCT "&amp;$L$20&amp;" "&amp;$M$21&amp;" is more than RTRI RECENT VCT "&amp;CHAR(10),""),IF(N96&gt;N94," * RITA RECENT VCT "&amp;$N$20&amp;" "&amp;$N$21&amp;" is more than RTRI RECENT VCT "&amp;CHAR(10),""),IF(O96&gt;O94," * RITA RECENT VCT "&amp;$N$20&amp;" "&amp;$O$21&amp;" is more than RTRI RECENT VCT "&amp;CHAR(10),""),IF(P96&gt;P94," * RITA RECENT VCT "&amp;$P$20&amp;" "&amp;$P$21&amp;" is more than RTRI RECENT VCT "&amp;CHAR(10),""),IF(Q96&gt;Q94," * RITA RECENT VCT "&amp;$P$20&amp;" "&amp;$Q$21&amp;" is more than RTRI RECENT VCT "&amp;CHAR(10),""),IF(R96&gt;R94," * RITA RECENT VCT "&amp;$R$20&amp;" "&amp;$R$21&amp;" is more than RTRI RECENT VCT "&amp;CHAR(10),""),IF(S96&gt;S94," * RITA RECENT VCT "&amp;$R$20&amp;" "&amp;$S$21&amp;" is more than RTRI RECENT VCT "&amp;CHAR(10),""),IF(T96&gt;T94," * RITA RECENT VCT "&amp;$T$20&amp;" "&amp;$T$21&amp;" is more than RTRI RECENT VCT "&amp;CHAR(10),""),IF(U96&gt;U94," * RITA RECENT VCT "&amp;$T$20&amp;" "&amp;$U$21&amp;" is more than RTRI RECENT VCT "&amp;CHAR(10),""),IF(V96&gt;V94," * RITA RECENT VCT "&amp;$V$20&amp;" "&amp;$V$21&amp;" is more than RTRI RECENT VCT "&amp;CHAR(10),""),IF(W96&gt;W94," * RITA RECENT VCT "&amp;$V$20&amp;" "&amp;$W$21&amp;" is more than RTRI RECENT VCT "&amp;CHAR(10),""),IF(X96&gt;X94," * RITA RECENT VCT "&amp;$X$20&amp;" "&amp;$X$21&amp;" is more than RTRI RECENT VCT "&amp;CHAR(10),""),IF(Y96&gt;Y94," * RITA RECENT VCT "&amp;$X$20&amp;" "&amp;$Y$21&amp;" is more than RTRI RECENT VCT "&amp;CHAR(10),""),IF(Z96&gt;Z94," * RITA RECENT VCT "&amp;$Z$20&amp;" "&amp;$Z$21&amp;" is more than RTRI RECENT VCT "&amp;CHAR(10),""),IF(AA96&gt;AA94," * RITA RECENT VCT "&amp;$Z$20&amp;" "&amp;$AA$21&amp;" is more than RTRI RECENT VCT "&amp;CHAR(10),""))</f>
        <v/>
      </c>
      <c r="AL94" s="1177"/>
      <c r="AM94" s="31"/>
      <c r="AN94" s="355"/>
      <c r="AO94" s="13">
        <v>32</v>
      </c>
      <c r="AP94" s="81"/>
      <c r="AQ94" s="82"/>
    </row>
    <row r="95" spans="1:43" s="83" customFormat="1" ht="27" hidden="1" thickBot="1" x14ac:dyDescent="0.45">
      <c r="A95" s="1157"/>
      <c r="B95" s="356" t="s">
        <v>1133</v>
      </c>
      <c r="C95" s="565" t="s">
        <v>993</v>
      </c>
      <c r="D95" s="135"/>
      <c r="E95" s="78"/>
      <c r="F95" s="78"/>
      <c r="G95" s="78"/>
      <c r="H95" s="78"/>
      <c r="I95" s="78"/>
      <c r="J95" s="78"/>
      <c r="K95" s="370"/>
      <c r="L95" s="141"/>
      <c r="M95" s="141"/>
      <c r="N95" s="141"/>
      <c r="O95" s="141"/>
      <c r="P95" s="141"/>
      <c r="Q95" s="141"/>
      <c r="R95" s="141"/>
      <c r="S95" s="141"/>
      <c r="T95" s="141"/>
      <c r="U95" s="141"/>
      <c r="V95" s="141"/>
      <c r="W95" s="141"/>
      <c r="X95" s="141"/>
      <c r="Y95" s="141"/>
      <c r="Z95" s="141"/>
      <c r="AA95" s="141"/>
      <c r="AB95" s="375"/>
      <c r="AC95" s="345"/>
      <c r="AD95" s="345"/>
      <c r="AE95" s="345"/>
      <c r="AF95" s="345"/>
      <c r="AG95" s="345"/>
      <c r="AH95" s="345"/>
      <c r="AI95" s="302"/>
      <c r="AJ95" s="192">
        <f t="shared" si="41"/>
        <v>0</v>
      </c>
      <c r="AK95" s="30" t="str">
        <f>CONCATENATE(IF(D97&gt;D95," * RITA Long-Term VCT  "&amp;$D$20&amp;" "&amp;$D$21&amp;" is more than RTRI Long-Term VCT  "&amp;CHAR(10),""),IF(E97&gt;E95," * RITA Long-Term VCT  "&amp;$D$20&amp;" "&amp;$E$21&amp;" is more than RTRI Long-Term VCT  "&amp;CHAR(10),""),IF(F97&gt;F95," * RITA Long-Term VCT  "&amp;$F$20&amp;" "&amp;$F$21&amp;" is more than RTRI Long-Term VCT  "&amp;CHAR(10),""),IF(G97&gt;G95," * RITA Long-Term VCT  "&amp;$F$20&amp;" "&amp;$G$21&amp;" is more than RTRI Long-Term VCT  "&amp;CHAR(10),""),IF(H97&gt;H95," * RITA Long-Term VCT  "&amp;$H$20&amp;" "&amp;$H$21&amp;" is more than RTRI Long-Term VCT  "&amp;CHAR(10),""),IF(I97&gt;I95," * RITA Long-Term VCT  "&amp;$H$20&amp;" "&amp;$I$21&amp;" is more than RTRI Long-Term VCT  "&amp;CHAR(10),""),IF(J97&gt;J95," * RITA Long-Term VCT  "&amp;$J$20&amp;" "&amp;$J$21&amp;" is more than RTRI Long-Term VCT  "&amp;CHAR(10),""),IF(K97&gt;K95," * RITA Long-Term VCT  "&amp;$J$20&amp;" "&amp;$K$21&amp;" is more than RTRI Long-Term VCT  "&amp;CHAR(10),""),IF(L97&gt;L95," * RITA Long-Term VCT  "&amp;$L$20&amp;" "&amp;$L$21&amp;" is more than RTRI Long-Term VCT  "&amp;CHAR(10),""),IF(M97&gt;M95," * RITA Long-Term VCT  "&amp;$L$20&amp;" "&amp;$M$21&amp;" is more than RTRI Long-Term VCT  "&amp;CHAR(10),""),IF(N97&gt;N95," * RITA Long-Term VCT  "&amp;$N$20&amp;" "&amp;$N$21&amp;" is more than RTRI Long-Term VCT  "&amp;CHAR(10),""),IF(O97&gt;O95," * RITA Long-Term VCT  "&amp;$N$20&amp;" "&amp;$O$21&amp;" is more than RTRI Long-Term VCT  "&amp;CHAR(10),""),IF(P97&gt;P95," * RITA Long-Term VCT  "&amp;$P$20&amp;" "&amp;$P$21&amp;" is more than RTRI Long-Term VCT  "&amp;CHAR(10),""),IF(Q97&gt;Q95," * RITA Long-Term VCT  "&amp;$P$20&amp;" "&amp;$Q$21&amp;" is more than RTRI Long-Term VCT  "&amp;CHAR(10),""),IF(R97&gt;R95," * RITA Long-Term VCT  "&amp;$R$20&amp;" "&amp;$R$21&amp;" is more than RTRI Long-Term VCT  "&amp;CHAR(10),""),IF(S97&gt;S95," * RITA Long-Term VCT  "&amp;$R$20&amp;" "&amp;$S$21&amp;" is more than RTRI Long-Term VCT  "&amp;CHAR(10),""),IF(T97&gt;T95," * RITA Long-Term VCT  "&amp;$T$20&amp;" "&amp;$T$21&amp;" is more than RTRI Long-Term VCT  "&amp;CHAR(10),""),IF(U97&gt;U95," * RITA Long-Term VCT  "&amp;$T$20&amp;" "&amp;$U$21&amp;" is more than RTRI Long-Term VCT  "&amp;CHAR(10),""),IF(V97&gt;V95," * RITA Long-Term VCT  "&amp;$V$20&amp;" "&amp;$V$21&amp;" is more than RTRI Long-Term VCT  "&amp;CHAR(10),""),IF(W97&gt;W95," * RITA Long-Term VCT  "&amp;$V$20&amp;" "&amp;$W$21&amp;" is more than RTRI Long-Term VCT  "&amp;CHAR(10),""),IF(X97&gt;X95," * RITA Long-Term VCT  "&amp;$X$20&amp;" "&amp;$X$21&amp;" is more than RTRI Long-Term VCT  "&amp;CHAR(10),""),IF(Y97&gt;Y95," * RITA Long-Term VCT  "&amp;$X$20&amp;" "&amp;$Y$21&amp;" is more than RTRI Long-Term VCT  "&amp;CHAR(10),""),IF(Z97&gt;Z95," * RITA Long-Term VCT  "&amp;$Z$20&amp;" "&amp;$Z$21&amp;" is more than RTRI Long-Term VCT  "&amp;CHAR(10),""),IF(AA97&gt;AA95," * RITA Long-Term VCT  "&amp;$Z$20&amp;" "&amp;$AA$21&amp;" is more than RTRI Long-Term VCT  "&amp;CHAR(10),""))</f>
        <v/>
      </c>
      <c r="AL95" s="1177"/>
      <c r="AM95" s="31"/>
      <c r="AN95" s="355"/>
      <c r="AO95" s="13">
        <v>33</v>
      </c>
      <c r="AP95" s="81"/>
      <c r="AQ95" s="82"/>
    </row>
    <row r="96" spans="1:43" s="83" customFormat="1" ht="26.25" hidden="1" x14ac:dyDescent="0.4">
      <c r="A96" s="1157"/>
      <c r="B96" s="1" t="s">
        <v>1134</v>
      </c>
      <c r="C96" s="563" t="s">
        <v>1148</v>
      </c>
      <c r="D96" s="135"/>
      <c r="E96" s="78"/>
      <c r="F96" s="78"/>
      <c r="G96" s="78"/>
      <c r="H96" s="78"/>
      <c r="I96" s="78"/>
      <c r="J96" s="78"/>
      <c r="K96" s="370"/>
      <c r="L96" s="236"/>
      <c r="M96" s="236"/>
      <c r="N96" s="236"/>
      <c r="O96" s="236"/>
      <c r="P96" s="236"/>
      <c r="Q96" s="236"/>
      <c r="R96" s="236"/>
      <c r="S96" s="236"/>
      <c r="T96" s="236"/>
      <c r="U96" s="236"/>
      <c r="V96" s="236"/>
      <c r="W96" s="236"/>
      <c r="X96" s="236"/>
      <c r="Y96" s="236"/>
      <c r="Z96" s="236"/>
      <c r="AA96" s="236"/>
      <c r="AB96" s="375"/>
      <c r="AC96" s="345"/>
      <c r="AD96" s="345"/>
      <c r="AE96" s="345"/>
      <c r="AF96" s="345"/>
      <c r="AG96" s="345"/>
      <c r="AH96" s="345"/>
      <c r="AI96" s="302"/>
      <c r="AJ96" s="184"/>
      <c r="AK96" s="30"/>
      <c r="AL96" s="1177"/>
      <c r="AM96" s="31"/>
      <c r="AN96" s="355"/>
      <c r="AO96" s="13"/>
      <c r="AP96" s="81"/>
      <c r="AQ96" s="82"/>
    </row>
    <row r="97" spans="1:43" s="83" customFormat="1" ht="27" hidden="1" thickBot="1" x14ac:dyDescent="0.45">
      <c r="A97" s="1158"/>
      <c r="B97" s="356" t="s">
        <v>1135</v>
      </c>
      <c r="C97" s="565" t="s">
        <v>1149</v>
      </c>
      <c r="D97" s="119"/>
      <c r="E97" s="102"/>
      <c r="F97" s="102"/>
      <c r="G97" s="102"/>
      <c r="H97" s="102"/>
      <c r="I97" s="102"/>
      <c r="J97" s="102"/>
      <c r="K97" s="364"/>
      <c r="L97" s="248"/>
      <c r="M97" s="248"/>
      <c r="N97" s="248"/>
      <c r="O97" s="248"/>
      <c r="P97" s="248"/>
      <c r="Q97" s="248"/>
      <c r="R97" s="248"/>
      <c r="S97" s="248"/>
      <c r="T97" s="248"/>
      <c r="U97" s="248"/>
      <c r="V97" s="248"/>
      <c r="W97" s="248"/>
      <c r="X97" s="248"/>
      <c r="Y97" s="248"/>
      <c r="Z97" s="248"/>
      <c r="AA97" s="248"/>
      <c r="AB97" s="375"/>
      <c r="AC97" s="345"/>
      <c r="AD97" s="345"/>
      <c r="AE97" s="345"/>
      <c r="AF97" s="345"/>
      <c r="AG97" s="345"/>
      <c r="AH97" s="345"/>
      <c r="AI97" s="302"/>
      <c r="AJ97" s="184"/>
      <c r="AK97" s="30"/>
      <c r="AL97" s="1177"/>
      <c r="AM97" s="31"/>
      <c r="AN97" s="355"/>
      <c r="AO97" s="13"/>
      <c r="AP97" s="81"/>
      <c r="AQ97" s="82"/>
    </row>
    <row r="98" spans="1:43" s="83" customFormat="1" ht="25.5" hidden="1" customHeight="1" x14ac:dyDescent="0.4">
      <c r="A98" s="1156" t="s">
        <v>985</v>
      </c>
      <c r="B98" s="1" t="s">
        <v>1132</v>
      </c>
      <c r="C98" s="563" t="s">
        <v>994</v>
      </c>
      <c r="D98" s="134"/>
      <c r="E98" s="99"/>
      <c r="F98" s="99"/>
      <c r="G98" s="99"/>
      <c r="H98" s="99"/>
      <c r="I98" s="99"/>
      <c r="J98" s="99"/>
      <c r="K98" s="363"/>
      <c r="L98" s="236"/>
      <c r="M98" s="236"/>
      <c r="N98" s="236"/>
      <c r="O98" s="236"/>
      <c r="P98" s="236"/>
      <c r="Q98" s="236"/>
      <c r="R98" s="236"/>
      <c r="S98" s="236"/>
      <c r="T98" s="236"/>
      <c r="U98" s="236"/>
      <c r="V98" s="236"/>
      <c r="W98" s="236"/>
      <c r="X98" s="236"/>
      <c r="Y98" s="236"/>
      <c r="Z98" s="236"/>
      <c r="AA98" s="236"/>
      <c r="AB98" s="375"/>
      <c r="AC98" s="345"/>
      <c r="AD98" s="345"/>
      <c r="AE98" s="345"/>
      <c r="AF98" s="345"/>
      <c r="AG98" s="345"/>
      <c r="AH98" s="345"/>
      <c r="AI98" s="302"/>
      <c r="AJ98" s="188">
        <f t="shared" si="41"/>
        <v>0</v>
      </c>
      <c r="AK98" s="30" t="str">
        <f>CONCATENATE(IF(D100&gt;D98," * RITA RECENT Other PITC "&amp;$D$20&amp;" "&amp;$D$21&amp;" is more than RTRI RECENT Other PITC "&amp;CHAR(10),""),IF(E100&gt;E98," * RITA RECENT Other PITC "&amp;$D$20&amp;" "&amp;$E$21&amp;" is more than RTRI RECENT Other PITC "&amp;CHAR(10),""),IF(F100&gt;F98," * RITA RECENT Other PITC "&amp;$F$20&amp;" "&amp;$F$21&amp;" is more than RTRI RECENT Other PITC "&amp;CHAR(10),""),IF(G100&gt;G98," * RITA RECENT Other PITC "&amp;$F$20&amp;" "&amp;$G$21&amp;" is more than RTRI RECENT Other PITC "&amp;CHAR(10),""),IF(H100&gt;H98," * RITA RECENT Other PITC "&amp;$H$20&amp;" "&amp;$H$21&amp;" is more than RTRI RECENT Other PITC "&amp;CHAR(10),""),IF(I100&gt;I98," * RITA RECENT Other PITC "&amp;$H$20&amp;" "&amp;$I$21&amp;" is more than RTRI RECENT Other PITC "&amp;CHAR(10),""),IF(J100&gt;J98," * RITA RECENT Other PITC "&amp;$J$20&amp;" "&amp;$J$21&amp;" is more than RTRI RECENT Other PITC "&amp;CHAR(10),""),IF(K100&gt;K98," * RITA RECENT Other PITC "&amp;$J$20&amp;" "&amp;$K$21&amp;" is more than RTRI RECENT Other PITC "&amp;CHAR(10),""),IF(L100&gt;L98," * RITA RECENT Other PITC "&amp;$L$20&amp;" "&amp;$L$21&amp;" is more than RTRI RECENT Other PITC "&amp;CHAR(10),""),IF(M100&gt;M98," * RITA RECENT Other PITC "&amp;$L$20&amp;" "&amp;$M$21&amp;" is more than RTRI RECENT Other PITC "&amp;CHAR(10),""),IF(N100&gt;N98," * RITA RECENT Other PITC "&amp;$N$20&amp;" "&amp;$N$21&amp;" is more than RTRI RECENT Other PITC "&amp;CHAR(10),""),IF(O100&gt;O98," * RITA RECENT Other PITC "&amp;$N$20&amp;" "&amp;$O$21&amp;" is more than RTRI RECENT Other PITC "&amp;CHAR(10),""),IF(P100&gt;P98," * RITA RECENT Other PITC "&amp;$P$20&amp;" "&amp;$P$21&amp;" is more than RTRI RECENT Other PITC "&amp;CHAR(10),""),IF(Q100&gt;Q98," * RITA RECENT Other PITC "&amp;$P$20&amp;" "&amp;$Q$21&amp;" is more than RTRI RECENT Other PITC "&amp;CHAR(10),""),IF(R100&gt;R98," * RITA RECENT Other PITC "&amp;$R$20&amp;" "&amp;$R$21&amp;" is more than RTRI RECENT Other PITC "&amp;CHAR(10),""),IF(S100&gt;S98," * RITA RECENT Other PITC "&amp;$R$20&amp;" "&amp;$S$21&amp;" is more than RTRI RECENT Other PITC "&amp;CHAR(10),""),IF(T100&gt;T98," * RITA RECENT Other PITC "&amp;$T$20&amp;" "&amp;$T$21&amp;" is more than RTRI RECENT Other PITC "&amp;CHAR(10),""),IF(U100&gt;U98," * RITA RECENT Other PITC "&amp;$T$20&amp;" "&amp;$U$21&amp;" is more than RTRI RECENT Other PITC "&amp;CHAR(10),""),IF(V100&gt;V98," * RITA RECENT Other PITC "&amp;$V$20&amp;" "&amp;$V$21&amp;" is more than RTRI RECENT Other PITC "&amp;CHAR(10),""),IF(W100&gt;W98," * RITA RECENT Other PITC "&amp;$V$20&amp;" "&amp;$W$21&amp;" is more than RTRI RECENT Other PITC "&amp;CHAR(10),""),IF(X100&gt;X98," * RITA RECENT Other PITC "&amp;$X$20&amp;" "&amp;$X$21&amp;" is more than RTRI RECENT Other PITC "&amp;CHAR(10),""),IF(Y100&gt;Y98," * RITA RECENT Other PITC "&amp;$X$20&amp;" "&amp;$Y$21&amp;" is more than RTRI RECENT Other PITC "&amp;CHAR(10),""),IF(Z100&gt;Z98," * RITA RECENT Other PITC "&amp;$Z$20&amp;" "&amp;$Z$21&amp;" is more than RTRI RECENT Other PITC "&amp;CHAR(10),""),IF(AA100&gt;AA98," * RITA RECENT Other PITC "&amp;$Z$20&amp;" "&amp;$AA$21&amp;" is more than RTRI RECENT Other PITC "&amp;CHAR(10),""))</f>
        <v/>
      </c>
      <c r="AL98" s="1177"/>
      <c r="AM98" s="31"/>
      <c r="AN98" s="355"/>
      <c r="AO98" s="13">
        <v>32</v>
      </c>
      <c r="AP98" s="81"/>
      <c r="AQ98" s="82"/>
    </row>
    <row r="99" spans="1:43" s="83" customFormat="1" ht="27" hidden="1" thickBot="1" x14ac:dyDescent="0.45">
      <c r="A99" s="1157"/>
      <c r="B99" s="356" t="s">
        <v>1133</v>
      </c>
      <c r="C99" s="565" t="s">
        <v>995</v>
      </c>
      <c r="D99" s="135"/>
      <c r="E99" s="78"/>
      <c r="F99" s="78"/>
      <c r="G99" s="78"/>
      <c r="H99" s="78"/>
      <c r="I99" s="78"/>
      <c r="J99" s="78"/>
      <c r="K99" s="370"/>
      <c r="L99" s="141"/>
      <c r="M99" s="141"/>
      <c r="N99" s="141"/>
      <c r="O99" s="141"/>
      <c r="P99" s="141"/>
      <c r="Q99" s="141"/>
      <c r="R99" s="141"/>
      <c r="S99" s="141"/>
      <c r="T99" s="141"/>
      <c r="U99" s="141"/>
      <c r="V99" s="141"/>
      <c r="W99" s="141"/>
      <c r="X99" s="141"/>
      <c r="Y99" s="141"/>
      <c r="Z99" s="141"/>
      <c r="AA99" s="141"/>
      <c r="AB99" s="375"/>
      <c r="AC99" s="345"/>
      <c r="AD99" s="345"/>
      <c r="AE99" s="345"/>
      <c r="AF99" s="345"/>
      <c r="AG99" s="345"/>
      <c r="AH99" s="345"/>
      <c r="AI99" s="302"/>
      <c r="AJ99" s="192">
        <f t="shared" si="41"/>
        <v>0</v>
      </c>
      <c r="AK99" s="30" t="str">
        <f>CONCATENATE(IF(D101&gt;D99," * RITA Long-Term Other PITC  "&amp;$D$20&amp;" "&amp;$D$21&amp;" is more than RTRI Long-Term Other PITC  "&amp;CHAR(10),""),IF(E101&gt;E99," * RITA Long-Term Other PITC  "&amp;$D$20&amp;" "&amp;$E$21&amp;" is more than RTRI Long-Term Other PITC  "&amp;CHAR(10),""),IF(F101&gt;F99," * RITA Long-Term Other PITC  "&amp;$F$20&amp;" "&amp;$F$21&amp;" is more than RTRI Long-Term Other PITC  "&amp;CHAR(10),""),IF(G101&gt;G99," * RITA Long-Term Other PITC  "&amp;$F$20&amp;" "&amp;$G$21&amp;" is more than RTRI Long-Term Other PITC  "&amp;CHAR(10),""),IF(H101&gt;H99," * RITA Long-Term Other PITC  "&amp;$H$20&amp;" "&amp;$H$21&amp;" is more than RTRI Long-Term Other PITC  "&amp;CHAR(10),""),IF(I101&gt;I99," * RITA Long-Term Other PITC  "&amp;$H$20&amp;" "&amp;$I$21&amp;" is more than RTRI Long-Term Other PITC  "&amp;CHAR(10),""),IF(J101&gt;J99," * RITA Long-Term Other PITC  "&amp;$J$20&amp;" "&amp;$J$21&amp;" is more than RTRI Long-Term Other PITC  "&amp;CHAR(10),""),IF(K101&gt;K99," * RITA Long-Term Other PITC  "&amp;$J$20&amp;" "&amp;$K$21&amp;" is more than RTRI Long-Term Other PITC  "&amp;CHAR(10),""),IF(L101&gt;L99," * RITA Long-Term Other PITC  "&amp;$L$20&amp;" "&amp;$L$21&amp;" is more than RTRI Long-Term Other PITC  "&amp;CHAR(10),""),IF(M101&gt;M99," * RITA Long-Term Other PITC  "&amp;$L$20&amp;" "&amp;$M$21&amp;" is more than RTRI Long-Term Other PITC  "&amp;CHAR(10),""),IF(N101&gt;N99," * RITA Long-Term Other PITC  "&amp;$N$20&amp;" "&amp;$N$21&amp;" is more than RTRI Long-Term Other PITC  "&amp;CHAR(10),""),IF(O101&gt;O99," * RITA Long-Term Other PITC  "&amp;$N$20&amp;" "&amp;$O$21&amp;" is more than RTRI Long-Term Other PITC  "&amp;CHAR(10),""),IF(P101&gt;P99," * RITA Long-Term Other PITC  "&amp;$P$20&amp;" "&amp;$P$21&amp;" is more than RTRI Long-Term Other PITC  "&amp;CHAR(10),""),IF(Q101&gt;Q99," * RITA Long-Term Other PITC  "&amp;$P$20&amp;" "&amp;$Q$21&amp;" is more than RTRI Long-Term Other PITC  "&amp;CHAR(10),""),IF(R101&gt;R99," * RITA Long-Term Other PITC  "&amp;$R$20&amp;" "&amp;$R$21&amp;" is more than RTRI Long-Term Other PITC  "&amp;CHAR(10),""),IF(S101&gt;S99," * RITA Long-Term Other PITC  "&amp;$R$20&amp;" "&amp;$S$21&amp;" is more than RTRI Long-Term Other PITC  "&amp;CHAR(10),""),IF(T101&gt;T99," * RITA Long-Term Other PITC  "&amp;$T$20&amp;" "&amp;$T$21&amp;" is more than RTRI Long-Term Other PITC  "&amp;CHAR(10),""),IF(U101&gt;U99," * RITA Long-Term Other PITC  "&amp;$T$20&amp;" "&amp;$U$21&amp;" is more than RTRI Long-Term Other PITC  "&amp;CHAR(10),""),IF(V101&gt;V99," * RITA Long-Term Other PITC  "&amp;$V$20&amp;" "&amp;$V$21&amp;" is more than RTRI Long-Term Other PITC  "&amp;CHAR(10),""),IF(W101&gt;W99," * RITA Long-Term Other PITC  "&amp;$V$20&amp;" "&amp;$W$21&amp;" is more than RTRI Long-Term Other PITC  "&amp;CHAR(10),""),IF(X101&gt;X99," * RITA Long-Term Other PITC  "&amp;$X$20&amp;" "&amp;$X$21&amp;" is more than RTRI Long-Term Other PITC  "&amp;CHAR(10),""),IF(Y101&gt;Y99," * RITA Long-Term Other PITC  "&amp;$X$20&amp;" "&amp;$Y$21&amp;" is more than RTRI Long-Term Other PITC  "&amp;CHAR(10),""),IF(Z101&gt;Z99," * RITA Long-Term Other PITC  "&amp;$Z$20&amp;" "&amp;$Z$21&amp;" is more than RTRI Long-Term Other PITC  "&amp;CHAR(10),""),IF(AA101&gt;AA99," * RITA Long-Term Other PITC  "&amp;$Z$20&amp;" "&amp;$AA$21&amp;" is more than RTRI Long-Term Other PITC  "&amp;CHAR(10),""))</f>
        <v/>
      </c>
      <c r="AL99" s="1177"/>
      <c r="AM99" s="31"/>
      <c r="AN99" s="355"/>
      <c r="AO99" s="13">
        <v>33</v>
      </c>
      <c r="AP99" s="81"/>
      <c r="AQ99" s="82"/>
    </row>
    <row r="100" spans="1:43" s="83" customFormat="1" ht="26.25" hidden="1" x14ac:dyDescent="0.4">
      <c r="A100" s="1157"/>
      <c r="B100" s="1" t="s">
        <v>1134</v>
      </c>
      <c r="C100" s="563" t="s">
        <v>1150</v>
      </c>
      <c r="D100" s="135"/>
      <c r="E100" s="78"/>
      <c r="F100" s="78"/>
      <c r="G100" s="78"/>
      <c r="H100" s="78"/>
      <c r="I100" s="78"/>
      <c r="J100" s="78"/>
      <c r="K100" s="370"/>
      <c r="L100" s="236"/>
      <c r="M100" s="236"/>
      <c r="N100" s="236"/>
      <c r="O100" s="236"/>
      <c r="P100" s="236"/>
      <c r="Q100" s="236"/>
      <c r="R100" s="236"/>
      <c r="S100" s="236"/>
      <c r="T100" s="236"/>
      <c r="U100" s="236"/>
      <c r="V100" s="236"/>
      <c r="W100" s="236"/>
      <c r="X100" s="236"/>
      <c r="Y100" s="236"/>
      <c r="Z100" s="236"/>
      <c r="AA100" s="236"/>
      <c r="AB100" s="375"/>
      <c r="AC100" s="345"/>
      <c r="AD100" s="345"/>
      <c r="AE100" s="345"/>
      <c r="AF100" s="345"/>
      <c r="AG100" s="345"/>
      <c r="AH100" s="345"/>
      <c r="AI100" s="302"/>
      <c r="AJ100" s="184"/>
      <c r="AK100" s="30"/>
      <c r="AL100" s="1177"/>
      <c r="AM100" s="31"/>
      <c r="AN100" s="355"/>
      <c r="AO100" s="13"/>
      <c r="AP100" s="81"/>
      <c r="AQ100" s="82"/>
    </row>
    <row r="101" spans="1:43" s="83" customFormat="1" ht="27" hidden="1" thickBot="1" x14ac:dyDescent="0.45">
      <c r="A101" s="1158"/>
      <c r="B101" s="356" t="s">
        <v>1135</v>
      </c>
      <c r="C101" s="565" t="s">
        <v>1151</v>
      </c>
      <c r="D101" s="119"/>
      <c r="E101" s="102"/>
      <c r="F101" s="102"/>
      <c r="G101" s="102"/>
      <c r="H101" s="102"/>
      <c r="I101" s="102"/>
      <c r="J101" s="102"/>
      <c r="K101" s="364"/>
      <c r="L101" s="248"/>
      <c r="M101" s="248"/>
      <c r="N101" s="248"/>
      <c r="O101" s="248"/>
      <c r="P101" s="248"/>
      <c r="Q101" s="248"/>
      <c r="R101" s="248"/>
      <c r="S101" s="248"/>
      <c r="T101" s="248"/>
      <c r="U101" s="248"/>
      <c r="V101" s="248"/>
      <c r="W101" s="248"/>
      <c r="X101" s="248"/>
      <c r="Y101" s="248"/>
      <c r="Z101" s="248"/>
      <c r="AA101" s="248"/>
      <c r="AB101" s="375"/>
      <c r="AC101" s="345"/>
      <c r="AD101" s="345"/>
      <c r="AE101" s="345"/>
      <c r="AF101" s="345"/>
      <c r="AG101" s="345"/>
      <c r="AH101" s="345"/>
      <c r="AI101" s="302"/>
      <c r="AJ101" s="184"/>
      <c r="AK101" s="30"/>
      <c r="AL101" s="1177"/>
      <c r="AM101" s="31"/>
      <c r="AN101" s="355"/>
      <c r="AO101" s="13"/>
      <c r="AP101" s="81"/>
      <c r="AQ101" s="82"/>
    </row>
    <row r="102" spans="1:43" s="83" customFormat="1" ht="25.15" hidden="1" customHeight="1" x14ac:dyDescent="0.4">
      <c r="A102" s="1156" t="s">
        <v>1003</v>
      </c>
      <c r="B102" s="1" t="s">
        <v>1132</v>
      </c>
      <c r="C102" s="563" t="s">
        <v>996</v>
      </c>
      <c r="D102" s="493"/>
      <c r="E102" s="71"/>
      <c r="F102" s="71"/>
      <c r="G102" s="71"/>
      <c r="H102" s="71"/>
      <c r="I102" s="71"/>
      <c r="J102" s="71"/>
      <c r="K102" s="494"/>
      <c r="L102" s="236"/>
      <c r="M102" s="236"/>
      <c r="N102" s="236"/>
      <c r="O102" s="236"/>
      <c r="P102" s="236"/>
      <c r="Q102" s="236"/>
      <c r="R102" s="236"/>
      <c r="S102" s="236"/>
      <c r="T102" s="236"/>
      <c r="U102" s="236"/>
      <c r="V102" s="236"/>
      <c r="W102" s="236"/>
      <c r="X102" s="236"/>
      <c r="Y102" s="236"/>
      <c r="Z102" s="236"/>
      <c r="AA102" s="236"/>
      <c r="AB102" s="375"/>
      <c r="AC102" s="345"/>
      <c r="AD102" s="345"/>
      <c r="AE102" s="345"/>
      <c r="AF102" s="345"/>
      <c r="AG102" s="345"/>
      <c r="AH102" s="345"/>
      <c r="AI102" s="302"/>
      <c r="AJ102" s="188">
        <f t="shared" si="41"/>
        <v>0</v>
      </c>
      <c r="AK102" s="30" t="str">
        <f>CONCATENATE(IF(D104&gt;D102," * RITA RECENT SNS "&amp;$D$20&amp;" "&amp;$D$21&amp;" is more than RTRI RECENT SNS "&amp;CHAR(10),""),IF(E104&gt;E102," * RITA RECENT SNS "&amp;$D$20&amp;" "&amp;$E$21&amp;" is more than RTRI RECENT SNS "&amp;CHAR(10),""),IF(F104&gt;F102," * RITA RECENT SNS "&amp;$F$20&amp;" "&amp;$F$21&amp;" is more than RTRI RECENT SNS "&amp;CHAR(10),""),IF(G104&gt;G102," * RITA RECENT SNS "&amp;$F$20&amp;" "&amp;$G$21&amp;" is more than RTRI RECENT SNS "&amp;CHAR(10),""),IF(H104&gt;H102," * RITA RECENT SNS "&amp;$H$20&amp;" "&amp;$H$21&amp;" is more than RTRI RECENT SNS "&amp;CHAR(10),""),IF(I104&gt;I102," * RITA RECENT SNS "&amp;$H$20&amp;" "&amp;$I$21&amp;" is more than RTRI RECENT SNS "&amp;CHAR(10),""),IF(J104&gt;J102," * RITA RECENT SNS "&amp;$J$20&amp;" "&amp;$J$21&amp;" is more than RTRI RECENT SNS "&amp;CHAR(10),""),IF(K104&gt;K102," * RITA RECENT SNS "&amp;$J$20&amp;" "&amp;$K$21&amp;" is more than RTRI RECENT SNS "&amp;CHAR(10),""),IF(L104&gt;L102," * RITA RECENT SNS "&amp;$L$20&amp;" "&amp;$L$21&amp;" is more than RTRI RECENT SNS "&amp;CHAR(10),""),IF(M104&gt;M102," * RITA RECENT SNS "&amp;$L$20&amp;" "&amp;$M$21&amp;" is more than RTRI RECENT SNS "&amp;CHAR(10),""),IF(N104&gt;N102," * RITA RECENT SNS "&amp;$N$20&amp;" "&amp;$N$21&amp;" is more than RTRI RECENT SNS "&amp;CHAR(10),""),IF(O104&gt;O102," * RITA RECENT SNS "&amp;$N$20&amp;" "&amp;$O$21&amp;" is more than RTRI RECENT SNS "&amp;CHAR(10),""),IF(P104&gt;P102," * RITA RECENT SNS "&amp;$P$20&amp;" "&amp;$P$21&amp;" is more than RTRI RECENT SNS "&amp;CHAR(10),""),IF(Q104&gt;Q102," * RITA RECENT SNS "&amp;$P$20&amp;" "&amp;$Q$21&amp;" is more than RTRI RECENT SNS "&amp;CHAR(10),""),IF(R104&gt;R102," * RITA RECENT SNS "&amp;$R$20&amp;" "&amp;$R$21&amp;" is more than RTRI RECENT SNS "&amp;CHAR(10),""),IF(S104&gt;S102," * RITA RECENT SNS "&amp;$R$20&amp;" "&amp;$S$21&amp;" is more than RTRI RECENT SNS "&amp;CHAR(10),""),IF(T104&gt;T102," * RITA RECENT SNS "&amp;$T$20&amp;" "&amp;$T$21&amp;" is more than RTRI RECENT SNS "&amp;CHAR(10),""),IF(U104&gt;U102," * RITA RECENT SNS "&amp;$T$20&amp;" "&amp;$U$21&amp;" is more than RTRI RECENT SNS "&amp;CHAR(10),""),IF(V104&gt;V102," * RITA RECENT SNS "&amp;$V$20&amp;" "&amp;$V$21&amp;" is more than RTRI RECENT SNS "&amp;CHAR(10),""),IF(W104&gt;W102," * RITA RECENT SNS "&amp;$V$20&amp;" "&amp;$W$21&amp;" is more than RTRI RECENT SNS "&amp;CHAR(10),""),IF(X104&gt;X102," * RITA RECENT SNS "&amp;$X$20&amp;" "&amp;$X$21&amp;" is more than RTRI RECENT SNS "&amp;CHAR(10),""),IF(Y104&gt;Y102," * RITA RECENT SNS "&amp;$X$20&amp;" "&amp;$Y$21&amp;" is more than RTRI RECENT SNS "&amp;CHAR(10),""),IF(Z104&gt;Z102," * RITA RECENT SNS "&amp;$Z$20&amp;" "&amp;$Z$21&amp;" is more than RTRI RECENT SNS "&amp;CHAR(10),""),IF(AA104&gt;AA102," * RITA RECENT SNS "&amp;$Z$20&amp;" "&amp;$AA$21&amp;" is more than RTRI RECENT SNS "&amp;CHAR(10),""))</f>
        <v/>
      </c>
      <c r="AL102" s="1177"/>
      <c r="AM102" s="31"/>
      <c r="AN102" s="355"/>
      <c r="AO102" s="13">
        <v>32</v>
      </c>
      <c r="AP102" s="81"/>
      <c r="AQ102" s="82"/>
    </row>
    <row r="103" spans="1:43" s="83" customFormat="1" ht="28.15" hidden="1" customHeight="1" thickBot="1" x14ac:dyDescent="0.45">
      <c r="A103" s="1157"/>
      <c r="B103" s="356" t="s">
        <v>1133</v>
      </c>
      <c r="C103" s="565" t="s">
        <v>997</v>
      </c>
      <c r="D103" s="119"/>
      <c r="E103" s="102"/>
      <c r="F103" s="102"/>
      <c r="G103" s="102"/>
      <c r="H103" s="102"/>
      <c r="I103" s="102"/>
      <c r="J103" s="102"/>
      <c r="K103" s="364"/>
      <c r="L103" s="141"/>
      <c r="M103" s="141"/>
      <c r="N103" s="141"/>
      <c r="O103" s="141"/>
      <c r="P103" s="141"/>
      <c r="Q103" s="141"/>
      <c r="R103" s="141"/>
      <c r="S103" s="141"/>
      <c r="T103" s="141"/>
      <c r="U103" s="141"/>
      <c r="V103" s="141"/>
      <c r="W103" s="141"/>
      <c r="X103" s="141"/>
      <c r="Y103" s="141"/>
      <c r="Z103" s="141"/>
      <c r="AA103" s="141"/>
      <c r="AB103" s="376"/>
      <c r="AC103" s="377"/>
      <c r="AD103" s="377"/>
      <c r="AE103" s="377"/>
      <c r="AF103" s="377"/>
      <c r="AG103" s="377"/>
      <c r="AH103" s="377"/>
      <c r="AI103" s="303"/>
      <c r="AJ103" s="192">
        <f t="shared" si="41"/>
        <v>0</v>
      </c>
      <c r="AK103" s="30" t="str">
        <f>CONCATENATE(IF(D105&gt;D103," * RITA Long-Term SNS  "&amp;$D$20&amp;" "&amp;$D$21&amp;" is more than RTRI Long-Term SNS  "&amp;CHAR(10),""),IF(E105&gt;E103," * RITA Long-Term SNS  "&amp;$D$20&amp;" "&amp;$E$21&amp;" is more than RTRI Long-Term SNS  "&amp;CHAR(10),""),IF(F105&gt;F103," * RITA Long-Term SNS  "&amp;$F$20&amp;" "&amp;$F$21&amp;" is more than RTRI Long-Term SNS  "&amp;CHAR(10),""),IF(G105&gt;G103," * RITA Long-Term SNS  "&amp;$F$20&amp;" "&amp;$G$21&amp;" is more than RTRI Long-Term SNS  "&amp;CHAR(10),""),IF(H105&gt;H103," * RITA Long-Term SNS  "&amp;$H$20&amp;" "&amp;$H$21&amp;" is more than RTRI Long-Term SNS  "&amp;CHAR(10),""),IF(I105&gt;I103," * RITA Long-Term SNS  "&amp;$H$20&amp;" "&amp;$I$21&amp;" is more than RTRI Long-Term SNS  "&amp;CHAR(10),""),IF(J105&gt;J103," * RITA Long-Term SNS  "&amp;$J$20&amp;" "&amp;$J$21&amp;" is more than RTRI Long-Term SNS  "&amp;CHAR(10),""),IF(K105&gt;K103," * RITA Long-Term SNS  "&amp;$J$20&amp;" "&amp;$K$21&amp;" is more than RTRI Long-Term SNS  "&amp;CHAR(10),""),IF(L105&gt;L103," * RITA Long-Term SNS  "&amp;$L$20&amp;" "&amp;$L$21&amp;" is more than RTRI Long-Term SNS  "&amp;CHAR(10),""),IF(M105&gt;M103," * RITA Long-Term SNS  "&amp;$L$20&amp;" "&amp;$M$21&amp;" is more than RTRI Long-Term SNS  "&amp;CHAR(10),""),IF(N105&gt;N103," * RITA Long-Term SNS  "&amp;$N$20&amp;" "&amp;$N$21&amp;" is more than RTRI Long-Term SNS  "&amp;CHAR(10),""),IF(O105&gt;O103," * RITA Long-Term SNS  "&amp;$N$20&amp;" "&amp;$O$21&amp;" is more than RTRI Long-Term SNS  "&amp;CHAR(10),""),IF(P105&gt;P103," * RITA Long-Term SNS  "&amp;$P$20&amp;" "&amp;$P$21&amp;" is more than RTRI Long-Term SNS  "&amp;CHAR(10),""),IF(Q105&gt;Q103," * RITA Long-Term SNS  "&amp;$P$20&amp;" "&amp;$Q$21&amp;" is more than RTRI Long-Term SNS  "&amp;CHAR(10),""),IF(R105&gt;R103," * RITA Long-Term SNS  "&amp;$R$20&amp;" "&amp;$R$21&amp;" is more than RTRI Long-Term SNS  "&amp;CHAR(10),""),IF(S105&gt;S103," * RITA Long-Term SNS  "&amp;$R$20&amp;" "&amp;$S$21&amp;" is more than RTRI Long-Term SNS  "&amp;CHAR(10),""),IF(T105&gt;T103," * RITA Long-Term SNS  "&amp;$T$20&amp;" "&amp;$T$21&amp;" is more than RTRI Long-Term SNS  "&amp;CHAR(10),""),IF(U105&gt;U103," * RITA Long-Term SNS  "&amp;$T$20&amp;" "&amp;$U$21&amp;" is more than RTRI Long-Term SNS  "&amp;CHAR(10),""),IF(V105&gt;V103," * RITA Long-Term SNS  "&amp;$V$20&amp;" "&amp;$V$21&amp;" is more than RTRI Long-Term SNS  "&amp;CHAR(10),""),IF(W105&gt;W103," * RITA Long-Term SNS  "&amp;$V$20&amp;" "&amp;$W$21&amp;" is more than RTRI Long-Term SNS  "&amp;CHAR(10),""),IF(X105&gt;X103," * RITA Long-Term SNS  "&amp;$X$20&amp;" "&amp;$X$21&amp;" is more than RTRI Long-Term SNS  "&amp;CHAR(10),""),IF(Y105&gt;Y103," * RITA Long-Term SNS  "&amp;$X$20&amp;" "&amp;$Y$21&amp;" is more than RTRI Long-Term SNS  "&amp;CHAR(10),""),IF(Z105&gt;Z103," * RITA Long-Term SNS  "&amp;$Z$20&amp;" "&amp;$Z$21&amp;" is more than RTRI Long-Term SNS  "&amp;CHAR(10),""),IF(AA105&gt;AA103," * RITA Long-Term SNS  "&amp;$Z$20&amp;" "&amp;$AA$21&amp;" is more than RTRI Long-Term SNS  "&amp;CHAR(10),""))</f>
        <v/>
      </c>
      <c r="AL103" s="1177"/>
      <c r="AM103" s="31"/>
      <c r="AN103" s="355"/>
      <c r="AO103" s="13">
        <v>33</v>
      </c>
      <c r="AP103" s="81"/>
      <c r="AQ103" s="82"/>
    </row>
    <row r="104" spans="1:43" s="83" customFormat="1" ht="27.4" hidden="1" customHeight="1" x14ac:dyDescent="0.4">
      <c r="A104" s="1157"/>
      <c r="B104" s="1" t="s">
        <v>1134</v>
      </c>
      <c r="C104" s="563" t="s">
        <v>1152</v>
      </c>
      <c r="D104" s="492"/>
      <c r="E104" s="120"/>
      <c r="F104" s="120"/>
      <c r="G104" s="120"/>
      <c r="H104" s="120"/>
      <c r="I104" s="120"/>
      <c r="J104" s="120"/>
      <c r="K104" s="394"/>
      <c r="L104" s="236"/>
      <c r="M104" s="236"/>
      <c r="N104" s="236"/>
      <c r="O104" s="236"/>
      <c r="P104" s="236"/>
      <c r="Q104" s="236"/>
      <c r="R104" s="236"/>
      <c r="S104" s="236"/>
      <c r="T104" s="236"/>
      <c r="U104" s="236"/>
      <c r="V104" s="236"/>
      <c r="W104" s="236"/>
      <c r="X104" s="236"/>
      <c r="Y104" s="236"/>
      <c r="Z104" s="236"/>
      <c r="AA104" s="236"/>
      <c r="AB104" s="375"/>
      <c r="AC104" s="345"/>
      <c r="AD104" s="345"/>
      <c r="AE104" s="345"/>
      <c r="AF104" s="345"/>
      <c r="AG104" s="345"/>
      <c r="AH104" s="345"/>
      <c r="AI104" s="302"/>
      <c r="AJ104" s="184"/>
      <c r="AK104" s="30"/>
      <c r="AL104" s="1177"/>
      <c r="AM104" s="31"/>
      <c r="AN104" s="355"/>
      <c r="AO104" s="13"/>
      <c r="AP104" s="81"/>
      <c r="AQ104" s="82"/>
    </row>
    <row r="105" spans="1:43" s="83" customFormat="1" ht="24.4" hidden="1" customHeight="1" thickBot="1" x14ac:dyDescent="0.45">
      <c r="A105" s="1158"/>
      <c r="B105" s="356" t="s">
        <v>1135</v>
      </c>
      <c r="C105" s="565" t="s">
        <v>1153</v>
      </c>
      <c r="D105" s="492"/>
      <c r="E105" s="120"/>
      <c r="F105" s="120"/>
      <c r="G105" s="120"/>
      <c r="H105" s="120"/>
      <c r="I105" s="120"/>
      <c r="J105" s="120"/>
      <c r="K105" s="394"/>
      <c r="L105" s="248"/>
      <c r="M105" s="248"/>
      <c r="N105" s="248"/>
      <c r="O105" s="248"/>
      <c r="P105" s="248"/>
      <c r="Q105" s="248"/>
      <c r="R105" s="248"/>
      <c r="S105" s="248"/>
      <c r="T105" s="248"/>
      <c r="U105" s="248"/>
      <c r="V105" s="248"/>
      <c r="W105" s="248"/>
      <c r="X105" s="248"/>
      <c r="Y105" s="248"/>
      <c r="Z105" s="248"/>
      <c r="AA105" s="248"/>
      <c r="AB105" s="375"/>
      <c r="AC105" s="345"/>
      <c r="AD105" s="345"/>
      <c r="AE105" s="345"/>
      <c r="AF105" s="345"/>
      <c r="AG105" s="345"/>
      <c r="AH105" s="345"/>
      <c r="AI105" s="302"/>
      <c r="AJ105" s="184"/>
      <c r="AK105" s="30"/>
      <c r="AL105" s="1177"/>
      <c r="AM105" s="31"/>
      <c r="AN105" s="355"/>
      <c r="AO105" s="13"/>
      <c r="AP105" s="81"/>
      <c r="AQ105" s="82"/>
    </row>
    <row r="106" spans="1:43" s="83" customFormat="1" ht="25.5" hidden="1" customHeight="1" x14ac:dyDescent="0.4">
      <c r="A106" s="1136" t="s">
        <v>986</v>
      </c>
      <c r="B106" s="1" t="s">
        <v>987</v>
      </c>
      <c r="C106" s="567" t="s">
        <v>1004</v>
      </c>
      <c r="D106" s="135"/>
      <c r="E106" s="78"/>
      <c r="F106" s="78"/>
      <c r="G106" s="78"/>
      <c r="H106" s="78"/>
      <c r="I106" s="78"/>
      <c r="J106" s="78"/>
      <c r="K106" s="370"/>
      <c r="L106" s="236"/>
      <c r="M106" s="94"/>
      <c r="N106" s="94"/>
      <c r="O106" s="94"/>
      <c r="P106" s="94"/>
      <c r="Q106" s="94"/>
      <c r="R106" s="94"/>
      <c r="S106" s="94"/>
      <c r="T106" s="94"/>
      <c r="U106" s="94"/>
      <c r="V106" s="94"/>
      <c r="W106" s="94"/>
      <c r="X106" s="94"/>
      <c r="Y106" s="94"/>
      <c r="Z106" s="94"/>
      <c r="AA106" s="310"/>
      <c r="AB106" s="1405"/>
      <c r="AC106" s="1406"/>
      <c r="AD106" s="1406"/>
      <c r="AE106" s="1406"/>
      <c r="AF106" s="1406"/>
      <c r="AG106" s="1406"/>
      <c r="AH106" s="1406"/>
      <c r="AI106" s="1407"/>
      <c r="AJ106" s="395">
        <f t="shared" si="41"/>
        <v>0</v>
      </c>
      <c r="AK106" s="30"/>
      <c r="AL106" s="1177"/>
      <c r="AM106" s="31"/>
      <c r="AN106" s="355"/>
      <c r="AO106" s="13">
        <v>32</v>
      </c>
      <c r="AP106" s="81"/>
      <c r="AQ106" s="82"/>
    </row>
    <row r="107" spans="1:43" s="83" customFormat="1" ht="25.9" hidden="1" customHeight="1" thickBot="1" x14ac:dyDescent="0.45">
      <c r="A107" s="1110"/>
      <c r="B107" s="356" t="s">
        <v>988</v>
      </c>
      <c r="C107" s="568" t="s">
        <v>1005</v>
      </c>
      <c r="D107" s="119"/>
      <c r="E107" s="102"/>
      <c r="F107" s="102"/>
      <c r="G107" s="102"/>
      <c r="H107" s="102"/>
      <c r="I107" s="102"/>
      <c r="J107" s="102"/>
      <c r="K107" s="364"/>
      <c r="L107" s="391"/>
      <c r="M107" s="97"/>
      <c r="N107" s="97"/>
      <c r="O107" s="97"/>
      <c r="P107" s="97"/>
      <c r="Q107" s="97"/>
      <c r="R107" s="97"/>
      <c r="S107" s="97"/>
      <c r="T107" s="97"/>
      <c r="U107" s="97"/>
      <c r="V107" s="97"/>
      <c r="W107" s="97"/>
      <c r="X107" s="97"/>
      <c r="Y107" s="97"/>
      <c r="Z107" s="97"/>
      <c r="AA107" s="311"/>
      <c r="AB107" s="359"/>
      <c r="AC107" s="360"/>
      <c r="AD107" s="360"/>
      <c r="AE107" s="360"/>
      <c r="AF107" s="360"/>
      <c r="AG107" s="360"/>
      <c r="AH107" s="360"/>
      <c r="AI107" s="361"/>
      <c r="AJ107" s="396">
        <f t="shared" si="41"/>
        <v>0</v>
      </c>
      <c r="AK107" s="30"/>
      <c r="AL107" s="1178"/>
      <c r="AM107" s="31"/>
      <c r="AN107" s="355"/>
      <c r="AO107" s="13">
        <v>33</v>
      </c>
      <c r="AP107" s="81"/>
      <c r="AQ107" s="82"/>
    </row>
    <row r="108" spans="1:43" ht="27" thickBot="1" x14ac:dyDescent="0.45">
      <c r="A108" s="1120" t="s">
        <v>100</v>
      </c>
      <c r="B108" s="1118"/>
      <c r="C108" s="1116"/>
      <c r="D108" s="1118"/>
      <c r="E108" s="1118"/>
      <c r="F108" s="1118"/>
      <c r="G108" s="1118"/>
      <c r="H108" s="1118"/>
      <c r="I108" s="1118"/>
      <c r="J108" s="1118"/>
      <c r="K108" s="1118"/>
      <c r="L108" s="1118"/>
      <c r="M108" s="1118"/>
      <c r="N108" s="1118"/>
      <c r="O108" s="1118"/>
      <c r="P108" s="1118"/>
      <c r="Q108" s="1118"/>
      <c r="R108" s="1118"/>
      <c r="S108" s="1118"/>
      <c r="T108" s="1118"/>
      <c r="U108" s="1118"/>
      <c r="V108" s="1118"/>
      <c r="W108" s="1118"/>
      <c r="X108" s="1118"/>
      <c r="Y108" s="1118"/>
      <c r="Z108" s="1118"/>
      <c r="AA108" s="1118"/>
      <c r="AB108" s="1116"/>
      <c r="AC108" s="1116"/>
      <c r="AD108" s="1116"/>
      <c r="AE108" s="1116"/>
      <c r="AF108" s="1116"/>
      <c r="AG108" s="1116"/>
      <c r="AH108" s="1116"/>
      <c r="AI108" s="1116"/>
      <c r="AJ108" s="1118"/>
      <c r="AK108" s="1118"/>
      <c r="AL108" s="1116"/>
      <c r="AM108" s="1118"/>
      <c r="AN108" s="1119"/>
      <c r="AO108" s="13">
        <v>50</v>
      </c>
      <c r="AP108" s="74"/>
      <c r="AQ108" s="75"/>
    </row>
    <row r="109" spans="1:43" ht="26.25" customHeight="1" x14ac:dyDescent="0.4">
      <c r="A109" s="1164" t="s">
        <v>36</v>
      </c>
      <c r="B109" s="1160" t="s">
        <v>321</v>
      </c>
      <c r="C109" s="1162" t="s">
        <v>305</v>
      </c>
      <c r="D109" s="1174"/>
      <c r="E109" s="1174"/>
      <c r="F109" s="1174"/>
      <c r="G109" s="1174"/>
      <c r="H109" s="1174"/>
      <c r="I109" s="1174"/>
      <c r="J109" s="1166" t="s">
        <v>3</v>
      </c>
      <c r="K109" s="1166"/>
      <c r="L109" s="1166" t="s">
        <v>4</v>
      </c>
      <c r="M109" s="1166"/>
      <c r="N109" s="1166" t="s">
        <v>5</v>
      </c>
      <c r="O109" s="1166"/>
      <c r="P109" s="1166" t="s">
        <v>6</v>
      </c>
      <c r="Q109" s="1166"/>
      <c r="R109" s="1166" t="s">
        <v>7</v>
      </c>
      <c r="S109" s="1166"/>
      <c r="T109" s="1166" t="s">
        <v>8</v>
      </c>
      <c r="U109" s="1166"/>
      <c r="V109" s="1166" t="s">
        <v>23</v>
      </c>
      <c r="W109" s="1166"/>
      <c r="X109" s="1166" t="s">
        <v>24</v>
      </c>
      <c r="Y109" s="1166"/>
      <c r="Z109" s="1166" t="s">
        <v>9</v>
      </c>
      <c r="AA109" s="1166"/>
      <c r="AB109" s="1144"/>
      <c r="AC109" s="1145"/>
      <c r="AD109" s="1145"/>
      <c r="AE109" s="1145"/>
      <c r="AF109" s="1145"/>
      <c r="AG109" s="1145"/>
      <c r="AH109" s="1145"/>
      <c r="AI109" s="1404"/>
      <c r="AJ109" s="1217" t="s">
        <v>19</v>
      </c>
      <c r="AK109" s="1211" t="s">
        <v>354</v>
      </c>
      <c r="AL109" s="1187" t="s">
        <v>360</v>
      </c>
      <c r="AM109" s="1179" t="s">
        <v>361</v>
      </c>
      <c r="AN109" s="1159" t="s">
        <v>361</v>
      </c>
      <c r="AO109" s="13">
        <v>51</v>
      </c>
      <c r="AP109" s="74"/>
      <c r="AQ109" s="75"/>
    </row>
    <row r="110" spans="1:43" ht="27" customHeight="1" thickBot="1" x14ac:dyDescent="0.45">
      <c r="A110" s="1165"/>
      <c r="B110" s="1161"/>
      <c r="C110" s="1231"/>
      <c r="D110" s="1175"/>
      <c r="E110" s="1175"/>
      <c r="F110" s="1175"/>
      <c r="G110" s="1175"/>
      <c r="H110" s="1175"/>
      <c r="I110" s="1175"/>
      <c r="J110" s="284" t="s">
        <v>10</v>
      </c>
      <c r="K110" s="284" t="s">
        <v>11</v>
      </c>
      <c r="L110" s="284" t="s">
        <v>10</v>
      </c>
      <c r="M110" s="284" t="s">
        <v>11</v>
      </c>
      <c r="N110" s="284" t="s">
        <v>10</v>
      </c>
      <c r="O110" s="284" t="s">
        <v>11</v>
      </c>
      <c r="P110" s="284" t="s">
        <v>10</v>
      </c>
      <c r="Q110" s="284" t="s">
        <v>11</v>
      </c>
      <c r="R110" s="284" t="s">
        <v>10</v>
      </c>
      <c r="S110" s="284" t="s">
        <v>11</v>
      </c>
      <c r="T110" s="284" t="s">
        <v>10</v>
      </c>
      <c r="U110" s="284" t="s">
        <v>11</v>
      </c>
      <c r="V110" s="284" t="s">
        <v>10</v>
      </c>
      <c r="W110" s="284" t="s">
        <v>11</v>
      </c>
      <c r="X110" s="284" t="s">
        <v>10</v>
      </c>
      <c r="Y110" s="284" t="s">
        <v>11</v>
      </c>
      <c r="Z110" s="284" t="s">
        <v>10</v>
      </c>
      <c r="AA110" s="284" t="s">
        <v>11</v>
      </c>
      <c r="AB110" s="371"/>
      <c r="AC110" s="358"/>
      <c r="AD110" s="358"/>
      <c r="AE110" s="358"/>
      <c r="AF110" s="358"/>
      <c r="AG110" s="358"/>
      <c r="AH110" s="358"/>
      <c r="AI110" s="372"/>
      <c r="AJ110" s="1218"/>
      <c r="AK110" s="1219"/>
      <c r="AL110" s="1138"/>
      <c r="AM110" s="1132"/>
      <c r="AN110" s="1128"/>
      <c r="AO110" s="13">
        <v>52</v>
      </c>
      <c r="AP110" s="74"/>
      <c r="AQ110" s="75"/>
    </row>
    <row r="111" spans="1:43" ht="26.25" x14ac:dyDescent="0.4">
      <c r="A111" s="1136" t="s">
        <v>20</v>
      </c>
      <c r="B111" s="91" t="s">
        <v>946</v>
      </c>
      <c r="C111" s="558" t="s">
        <v>162</v>
      </c>
      <c r="D111" s="134"/>
      <c r="E111" s="99"/>
      <c r="F111" s="99"/>
      <c r="G111" s="99"/>
      <c r="H111" s="99"/>
      <c r="I111" s="363"/>
      <c r="J111" s="236"/>
      <c r="K111" s="94"/>
      <c r="L111" s="94"/>
      <c r="M111" s="94"/>
      <c r="N111" s="94"/>
      <c r="O111" s="94"/>
      <c r="P111" s="94"/>
      <c r="Q111" s="94"/>
      <c r="R111" s="94"/>
      <c r="S111" s="94"/>
      <c r="T111" s="94"/>
      <c r="U111" s="94"/>
      <c r="V111" s="94"/>
      <c r="W111" s="94"/>
      <c r="X111" s="94"/>
      <c r="Y111" s="94"/>
      <c r="Z111" s="94"/>
      <c r="AA111" s="310"/>
      <c r="AB111" s="373"/>
      <c r="AC111" s="374"/>
      <c r="AD111" s="374"/>
      <c r="AE111" s="374"/>
      <c r="AF111" s="374"/>
      <c r="AG111" s="374"/>
      <c r="AH111" s="374"/>
      <c r="AI111" s="305"/>
      <c r="AJ111" s="188">
        <f>SUM(D111:AA111)</f>
        <v>0</v>
      </c>
      <c r="AK111" s="116"/>
      <c r="AL111" s="1141" t="str">
        <f>CONCATENATE(AK111,AK112,AK113,AK114,AK116,AK117,AK119,AK118,AK120)</f>
        <v/>
      </c>
      <c r="AM111" s="31"/>
      <c r="AN111" s="1167" t="str">
        <f>CONCATENATE(AM111,AM112,AM113,AM114,AM116)</f>
        <v/>
      </c>
      <c r="AO111" s="13">
        <v>53</v>
      </c>
      <c r="AP111" s="74"/>
      <c r="AQ111" s="75"/>
    </row>
    <row r="112" spans="1:43" ht="26.25" x14ac:dyDescent="0.4">
      <c r="A112" s="1224"/>
      <c r="B112" s="76" t="s">
        <v>915</v>
      </c>
      <c r="C112" s="559" t="s">
        <v>164</v>
      </c>
      <c r="D112" s="135"/>
      <c r="E112" s="78"/>
      <c r="F112" s="78"/>
      <c r="G112" s="78"/>
      <c r="H112" s="78"/>
      <c r="I112" s="370"/>
      <c r="J112" s="392">
        <f>SUM(J113:J116)</f>
        <v>0</v>
      </c>
      <c r="K112" s="117">
        <f t="shared" ref="K112:AA112" si="44">SUM(K113:K116)</f>
        <v>0</v>
      </c>
      <c r="L112" s="117">
        <f t="shared" si="44"/>
        <v>0</v>
      </c>
      <c r="M112" s="117">
        <f t="shared" si="44"/>
        <v>0</v>
      </c>
      <c r="N112" s="117">
        <f t="shared" si="44"/>
        <v>0</v>
      </c>
      <c r="O112" s="117">
        <f t="shared" si="44"/>
        <v>0</v>
      </c>
      <c r="P112" s="117">
        <f t="shared" si="44"/>
        <v>0</v>
      </c>
      <c r="Q112" s="117">
        <f t="shared" si="44"/>
        <v>0</v>
      </c>
      <c r="R112" s="117">
        <f t="shared" si="44"/>
        <v>0</v>
      </c>
      <c r="S112" s="117">
        <f t="shared" si="44"/>
        <v>0</v>
      </c>
      <c r="T112" s="117">
        <f t="shared" si="44"/>
        <v>0</v>
      </c>
      <c r="U112" s="117">
        <f t="shared" si="44"/>
        <v>0</v>
      </c>
      <c r="V112" s="117">
        <f t="shared" si="44"/>
        <v>0</v>
      </c>
      <c r="W112" s="117">
        <f t="shared" si="44"/>
        <v>0</v>
      </c>
      <c r="X112" s="117">
        <f t="shared" si="44"/>
        <v>0</v>
      </c>
      <c r="Y112" s="117">
        <f t="shared" si="44"/>
        <v>0</v>
      </c>
      <c r="Z112" s="117">
        <f t="shared" si="44"/>
        <v>0</v>
      </c>
      <c r="AA112" s="317">
        <f t="shared" si="44"/>
        <v>0</v>
      </c>
      <c r="AB112" s="375"/>
      <c r="AC112" s="345"/>
      <c r="AD112" s="345"/>
      <c r="AE112" s="345"/>
      <c r="AF112" s="345"/>
      <c r="AG112" s="345"/>
      <c r="AH112" s="345"/>
      <c r="AI112" s="302"/>
      <c r="AJ112" s="173">
        <f t="shared" ref="AJ112:AJ117" si="45">SUM(D112:AA112)</f>
        <v>0</v>
      </c>
      <c r="AK112" s="116"/>
      <c r="AL112" s="1142"/>
      <c r="AM112" s="31"/>
      <c r="AN112" s="1134"/>
      <c r="AO112" s="13">
        <v>54</v>
      </c>
      <c r="AP112" s="74"/>
      <c r="AQ112" s="75"/>
    </row>
    <row r="113" spans="1:43" ht="26.25" x14ac:dyDescent="0.4">
      <c r="A113" s="1224"/>
      <c r="B113" s="76" t="s">
        <v>614</v>
      </c>
      <c r="C113" s="559" t="s">
        <v>165</v>
      </c>
      <c r="D113" s="135"/>
      <c r="E113" s="78"/>
      <c r="F113" s="78"/>
      <c r="G113" s="78"/>
      <c r="H113" s="78"/>
      <c r="I113" s="370"/>
      <c r="J113" s="237"/>
      <c r="K113" s="79"/>
      <c r="L113" s="79"/>
      <c r="M113" s="79"/>
      <c r="N113" s="79"/>
      <c r="O113" s="79"/>
      <c r="P113" s="79"/>
      <c r="Q113" s="79"/>
      <c r="R113" s="79"/>
      <c r="S113" s="79"/>
      <c r="T113" s="79"/>
      <c r="U113" s="79"/>
      <c r="V113" s="79"/>
      <c r="W113" s="79"/>
      <c r="X113" s="79"/>
      <c r="Y113" s="79"/>
      <c r="Z113" s="79"/>
      <c r="AA113" s="307"/>
      <c r="AB113" s="375"/>
      <c r="AC113" s="345"/>
      <c r="AD113" s="345"/>
      <c r="AE113" s="345"/>
      <c r="AF113" s="345"/>
      <c r="AG113" s="345"/>
      <c r="AH113" s="345"/>
      <c r="AI113" s="302"/>
      <c r="AJ113" s="173">
        <f t="shared" si="45"/>
        <v>0</v>
      </c>
      <c r="AK113" s="116"/>
      <c r="AL113" s="1142"/>
      <c r="AM113" s="31"/>
      <c r="AN113" s="1134"/>
      <c r="AO113" s="13">
        <v>55</v>
      </c>
      <c r="AP113" s="74"/>
      <c r="AQ113" s="75"/>
    </row>
    <row r="114" spans="1:43" ht="26.25" x14ac:dyDescent="0.4">
      <c r="A114" s="1224"/>
      <c r="B114" s="76" t="s">
        <v>615</v>
      </c>
      <c r="C114" s="559" t="s">
        <v>166</v>
      </c>
      <c r="D114" s="135"/>
      <c r="E114" s="78"/>
      <c r="F114" s="78"/>
      <c r="G114" s="78"/>
      <c r="H114" s="78"/>
      <c r="I114" s="370"/>
      <c r="J114" s="237"/>
      <c r="K114" s="79"/>
      <c r="L114" s="79"/>
      <c r="M114" s="79"/>
      <c r="N114" s="79"/>
      <c r="O114" s="79"/>
      <c r="P114" s="79"/>
      <c r="Q114" s="79"/>
      <c r="R114" s="79"/>
      <c r="S114" s="79"/>
      <c r="T114" s="79"/>
      <c r="U114" s="79"/>
      <c r="V114" s="79"/>
      <c r="W114" s="79"/>
      <c r="X114" s="79"/>
      <c r="Y114" s="79"/>
      <c r="Z114" s="79"/>
      <c r="AA114" s="307"/>
      <c r="AB114" s="375"/>
      <c r="AC114" s="345"/>
      <c r="AD114" s="345"/>
      <c r="AE114" s="345"/>
      <c r="AF114" s="345"/>
      <c r="AG114" s="345"/>
      <c r="AH114" s="345"/>
      <c r="AI114" s="302"/>
      <c r="AJ114" s="173">
        <f t="shared" si="45"/>
        <v>0</v>
      </c>
      <c r="AK114" s="116"/>
      <c r="AL114" s="1142"/>
      <c r="AM114" s="31"/>
      <c r="AN114" s="1134"/>
      <c r="AO114" s="13">
        <v>56</v>
      </c>
      <c r="AP114" s="74"/>
      <c r="AQ114" s="75"/>
    </row>
    <row r="115" spans="1:43" ht="26.25" x14ac:dyDescent="0.4">
      <c r="A115" s="1225"/>
      <c r="B115" s="214" t="s">
        <v>1304</v>
      </c>
      <c r="C115" s="978" t="s">
        <v>1254</v>
      </c>
      <c r="D115" s="492"/>
      <c r="E115" s="120"/>
      <c r="F115" s="120"/>
      <c r="G115" s="120"/>
      <c r="H115" s="120"/>
      <c r="I115" s="394"/>
      <c r="J115" s="248"/>
      <c r="K115" s="121"/>
      <c r="L115" s="121"/>
      <c r="M115" s="121"/>
      <c r="N115" s="121"/>
      <c r="O115" s="121"/>
      <c r="P115" s="121"/>
      <c r="Q115" s="121"/>
      <c r="R115" s="121"/>
      <c r="S115" s="121"/>
      <c r="T115" s="121"/>
      <c r="U115" s="121"/>
      <c r="V115" s="121"/>
      <c r="W115" s="121"/>
      <c r="X115" s="121"/>
      <c r="Y115" s="121"/>
      <c r="Z115" s="121"/>
      <c r="AA115" s="318"/>
      <c r="AB115" s="375"/>
      <c r="AC115" s="345"/>
      <c r="AD115" s="345"/>
      <c r="AE115" s="345"/>
      <c r="AF115" s="345"/>
      <c r="AG115" s="345"/>
      <c r="AH115" s="345"/>
      <c r="AI115" s="302"/>
      <c r="AJ115" s="173">
        <f t="shared" si="45"/>
        <v>0</v>
      </c>
      <c r="AK115" s="122"/>
      <c r="AL115" s="1142"/>
      <c r="AM115" s="123"/>
      <c r="AN115" s="1135"/>
      <c r="AO115" s="13"/>
      <c r="AP115" s="74"/>
      <c r="AQ115" s="75"/>
    </row>
    <row r="116" spans="1:43" ht="27" thickBot="1" x14ac:dyDescent="0.45">
      <c r="A116" s="1110"/>
      <c r="B116" s="118" t="s">
        <v>616</v>
      </c>
      <c r="C116" s="560" t="s">
        <v>167</v>
      </c>
      <c r="D116" s="119"/>
      <c r="E116" s="102"/>
      <c r="F116" s="102"/>
      <c r="G116" s="120"/>
      <c r="H116" s="120"/>
      <c r="I116" s="394"/>
      <c r="J116" s="248"/>
      <c r="K116" s="121"/>
      <c r="L116" s="121"/>
      <c r="M116" s="121"/>
      <c r="N116" s="121"/>
      <c r="O116" s="121"/>
      <c r="P116" s="121"/>
      <c r="Q116" s="121"/>
      <c r="R116" s="121"/>
      <c r="S116" s="121"/>
      <c r="T116" s="121"/>
      <c r="U116" s="121"/>
      <c r="V116" s="121"/>
      <c r="W116" s="121"/>
      <c r="X116" s="121"/>
      <c r="Y116" s="121"/>
      <c r="Z116" s="121"/>
      <c r="AA116" s="318"/>
      <c r="AB116" s="375"/>
      <c r="AC116" s="345"/>
      <c r="AD116" s="345"/>
      <c r="AE116" s="345"/>
      <c r="AF116" s="345"/>
      <c r="AG116" s="345"/>
      <c r="AH116" s="345"/>
      <c r="AI116" s="302"/>
      <c r="AJ116" s="173">
        <f t="shared" si="45"/>
        <v>0</v>
      </c>
      <c r="AK116" s="122"/>
      <c r="AL116" s="1142"/>
      <c r="AM116" s="123"/>
      <c r="AN116" s="1135"/>
      <c r="AO116" s="13">
        <v>57</v>
      </c>
      <c r="AP116" s="74"/>
      <c r="AQ116" s="75"/>
    </row>
    <row r="117" spans="1:43" ht="26.25" x14ac:dyDescent="0.4">
      <c r="A117" s="1156" t="s">
        <v>1302</v>
      </c>
      <c r="B117" s="91" t="s">
        <v>146</v>
      </c>
      <c r="C117" s="559" t="s">
        <v>924</v>
      </c>
      <c r="D117" s="134"/>
      <c r="E117" s="99"/>
      <c r="F117" s="99"/>
      <c r="G117" s="99"/>
      <c r="H117" s="99"/>
      <c r="I117" s="363"/>
      <c r="J117" s="236"/>
      <c r="K117" s="94"/>
      <c r="L117" s="94"/>
      <c r="M117" s="94"/>
      <c r="N117" s="94"/>
      <c r="O117" s="94"/>
      <c r="P117" s="94"/>
      <c r="Q117" s="94"/>
      <c r="R117" s="94"/>
      <c r="S117" s="94"/>
      <c r="T117" s="94"/>
      <c r="U117" s="94"/>
      <c r="V117" s="94"/>
      <c r="W117" s="94"/>
      <c r="X117" s="94"/>
      <c r="Y117" s="94"/>
      <c r="Z117" s="94"/>
      <c r="AA117" s="310"/>
      <c r="AB117" s="375"/>
      <c r="AC117" s="345"/>
      <c r="AD117" s="345"/>
      <c r="AE117" s="345"/>
      <c r="AF117" s="345"/>
      <c r="AG117" s="345"/>
      <c r="AH117" s="345"/>
      <c r="AI117" s="302"/>
      <c r="AJ117" s="173">
        <f t="shared" si="45"/>
        <v>0</v>
      </c>
      <c r="AK117" s="124" t="str">
        <f>CONCATENATE(IF(D118&gt;D117," * Tested Positive  for Age "&amp;D20&amp;" "&amp;D21&amp;" is more than Number Tested "&amp;CHAR(10),""),IF(E118&gt;E117," * Tested Positive  for Age "&amp;D20&amp;" "&amp;E21&amp;" is more than Number Tested "&amp;CHAR(10),""),IF(F118&gt;F117," * Tested Positive  for Age "&amp;F20&amp;" "&amp;F21&amp;" is more than Number Tested "&amp;CHAR(10),""),IF(G118&gt;G117," * Tested Positive  for Age "&amp;F20&amp;" "&amp;G21&amp;" is more than Number Tested "&amp;CHAR(10),""),IF(H118&gt;H117," * Tested Positive  for Age "&amp;H20&amp;" "&amp;H21&amp;" is more than Number Tested "&amp;CHAR(10),""),IF(I118&gt;I117," * Tested Positive  for Age "&amp;H20&amp;" "&amp;I21&amp;" is more than Number Tested "&amp;CHAR(10),""),IF(J118&gt;J117," * Tested Positive  for Age "&amp;J20&amp;" "&amp;J21&amp;" is more than Number Tested "&amp;CHAR(10),""),IF(K118&gt;K117," * Tested Positive  for Age "&amp;J20&amp;" "&amp;K21&amp;" is more than Number Tested "&amp;CHAR(10),""),IF(L118&gt;L117," * Tested Positive  for Age "&amp;L20&amp;" "&amp;L21&amp;" is more than Number Tested "&amp;CHAR(10),""),IF(M118&gt;M117," * Tested Positive  for Age "&amp;L20&amp;" "&amp;M21&amp;" is more than Number Tested "&amp;CHAR(10),""),IF(N118&gt;N117," * Tested Positive  for Age "&amp;N20&amp;" "&amp;N21&amp;" is more than Number Tested "&amp;CHAR(10),""),IF(O118&gt;O117," * Tested Positive  for Age "&amp;N20&amp;" "&amp;O21&amp;" is more than Number Tested "&amp;CHAR(10),""),IF(P118&gt;P117," * Tested Positive  for Age "&amp;P20&amp;" "&amp;P21&amp;" is more than Number Tested "&amp;CHAR(10),""),IF(Q118&gt;Q117," * Tested Positive  for Age "&amp;P20&amp;" "&amp;Q21&amp;" is more than Number Tested "&amp;CHAR(10),""),IF(R118&gt;R117," * Tested Positive  for Age "&amp;R20&amp;" "&amp;R21&amp;" is more than Number Tested "&amp;CHAR(10),""),IF(S118&gt;S117," * Tested Positive  for Age "&amp;R20&amp;" "&amp;S21&amp;" is more than Number Tested "&amp;CHAR(10),""),IF(T118&gt;T117," * Tested Positive  for Age "&amp;T20&amp;" "&amp;T21&amp;" is more than Number Tested "&amp;CHAR(10),""),IF(U118&gt;U117," * Tested Positive  for Age "&amp;T20&amp;" "&amp;U21&amp;" is more than Number Tested "&amp;CHAR(10),""),IF(V118&gt;V117," * Tested Positive  for Age "&amp;V20&amp;" "&amp;V21&amp;" is more than Number Tested "&amp;CHAR(10),""),IF(W118&gt;W117," * Tested Positive  for Age "&amp;V20&amp;" "&amp;W21&amp;" is more than Number Tested "&amp;CHAR(10),""),IF(X118&gt;X117," * Tested Positive  for Age "&amp;X20&amp;" "&amp;X21&amp;" is more than Number Tested "&amp;CHAR(10),""),IF(Y118&gt;Y117," * Tested Positive  for Age "&amp;X20&amp;" "&amp;Y21&amp;" is more than Number Tested "&amp;CHAR(10),""),IF(Z118&gt;Z117," * Tested Positive  for Age "&amp;Z20&amp;" "&amp;Z21&amp;" is more than Number Tested "&amp;CHAR(10),""),IF(AA118&gt;AA117," * Tested Positive  for Age "&amp;Z20&amp;" "&amp;AA21&amp;" is more than Number Tested "&amp;CHAR(10),""))</f>
        <v/>
      </c>
      <c r="AL117" s="1142"/>
      <c r="AM117" s="125"/>
      <c r="AN117" s="126"/>
      <c r="AO117" s="13">
        <v>58</v>
      </c>
      <c r="AP117" s="74"/>
      <c r="AQ117" s="75"/>
    </row>
    <row r="118" spans="1:43" ht="27" thickBot="1" x14ac:dyDescent="0.45">
      <c r="A118" s="1158"/>
      <c r="B118" s="95" t="s">
        <v>138</v>
      </c>
      <c r="C118" s="560" t="s">
        <v>925</v>
      </c>
      <c r="D118" s="119"/>
      <c r="E118" s="102"/>
      <c r="F118" s="102"/>
      <c r="G118" s="102"/>
      <c r="H118" s="102"/>
      <c r="I118" s="364"/>
      <c r="J118" s="393"/>
      <c r="K118" s="106"/>
      <c r="L118" s="106"/>
      <c r="M118" s="106"/>
      <c r="N118" s="106"/>
      <c r="O118" s="106"/>
      <c r="P118" s="106"/>
      <c r="Q118" s="106"/>
      <c r="R118" s="106"/>
      <c r="S118" s="106"/>
      <c r="T118" s="106"/>
      <c r="U118" s="106"/>
      <c r="V118" s="106"/>
      <c r="W118" s="106"/>
      <c r="X118" s="106"/>
      <c r="Y118" s="106"/>
      <c r="Z118" s="106"/>
      <c r="AA118" s="316"/>
      <c r="AB118" s="376"/>
      <c r="AC118" s="377"/>
      <c r="AD118" s="377"/>
      <c r="AE118" s="377"/>
      <c r="AF118" s="377"/>
      <c r="AG118" s="377"/>
      <c r="AH118" s="377"/>
      <c r="AI118" s="303"/>
      <c r="AJ118" s="56"/>
      <c r="AK118" s="124"/>
      <c r="AL118" s="1142"/>
      <c r="AM118" s="125"/>
      <c r="AN118" s="126"/>
      <c r="AO118" s="13">
        <v>59</v>
      </c>
      <c r="AP118" s="74"/>
      <c r="AQ118" s="75"/>
    </row>
    <row r="119" spans="1:43" ht="26.25" x14ac:dyDescent="0.4">
      <c r="A119" s="1156" t="s">
        <v>1178</v>
      </c>
      <c r="B119" s="91" t="s">
        <v>146</v>
      </c>
      <c r="C119" s="559" t="s">
        <v>1179</v>
      </c>
      <c r="D119" s="134"/>
      <c r="E119" s="99"/>
      <c r="F119" s="99"/>
      <c r="G119" s="99"/>
      <c r="H119" s="99"/>
      <c r="I119" s="363"/>
      <c r="J119" s="236"/>
      <c r="K119" s="94"/>
      <c r="L119" s="94"/>
      <c r="M119" s="94"/>
      <c r="N119" s="94"/>
      <c r="O119" s="94"/>
      <c r="P119" s="94"/>
      <c r="Q119" s="94"/>
      <c r="R119" s="94"/>
      <c r="S119" s="94"/>
      <c r="T119" s="94"/>
      <c r="U119" s="94"/>
      <c r="V119" s="94"/>
      <c r="W119" s="94"/>
      <c r="X119" s="94"/>
      <c r="Y119" s="94"/>
      <c r="Z119" s="94"/>
      <c r="AA119" s="310"/>
      <c r="AB119" s="375"/>
      <c r="AC119" s="345"/>
      <c r="AD119" s="345"/>
      <c r="AE119" s="345"/>
      <c r="AF119" s="345"/>
      <c r="AG119" s="345"/>
      <c r="AH119" s="345"/>
      <c r="AI119" s="302"/>
      <c r="AJ119" s="378"/>
      <c r="AK119" s="124" t="str">
        <f>CONCATENATE(IF(D120&gt;D119," * Tested Positive  for Age "&amp;D20&amp;" "&amp;D21&amp;" is more than Number Tested "&amp;CHAR(10),""),IF(E120&gt;E119," * Tested Positive  for Age "&amp;D20&amp;" "&amp;E21&amp;" is more than Number Tested "&amp;CHAR(10),""),IF(F120&gt;F119," * Tested Positive  for Age "&amp;F20&amp;" "&amp;F21&amp;" is more than Number Tested "&amp;CHAR(10),""),IF(G120&gt;G119," * Tested Positive  for Age "&amp;F20&amp;" "&amp;G21&amp;" is more than Number Tested "&amp;CHAR(10),""),IF(H120&gt;H119," * Tested Positive  for Age "&amp;H20&amp;" "&amp;H21&amp;" is more than Number Tested "&amp;CHAR(10),""),IF(I120&gt;I119," * Tested Positive  for Age "&amp;H20&amp;" "&amp;I21&amp;" is more than Number Tested "&amp;CHAR(10),""),IF(J120&gt;J119," * Tested Positive  for Age "&amp;J20&amp;" "&amp;J21&amp;" is more than Number Tested "&amp;CHAR(10),""),IF(K120&gt;K119," * Tested Positive  for Age "&amp;J20&amp;" "&amp;K21&amp;" is more than Number Tested "&amp;CHAR(10),""),IF(L120&gt;L119," * Tested Positive  for Age "&amp;L20&amp;" "&amp;L21&amp;" is more than Number Tested "&amp;CHAR(10),""),IF(M120&gt;M119," * Tested Positive  for Age "&amp;L20&amp;" "&amp;M21&amp;" is more than Number Tested "&amp;CHAR(10),""),IF(N120&gt;N119," * Tested Positive  for Age "&amp;N20&amp;" "&amp;N21&amp;" is more than Number Tested "&amp;CHAR(10),""),IF(O120&gt;O119," * Tested Positive  for Age "&amp;N20&amp;" "&amp;O21&amp;" is more than Number Tested "&amp;CHAR(10),""),IF(P120&gt;P119," * Tested Positive  for Age "&amp;P20&amp;" "&amp;P21&amp;" is more than Number Tested "&amp;CHAR(10),""),IF(Q120&gt;Q119," * Tested Positive  for Age "&amp;P20&amp;" "&amp;Q21&amp;" is more than Number Tested "&amp;CHAR(10),""),IF(R120&gt;R119," * Tested Positive  for Age "&amp;R20&amp;" "&amp;R21&amp;" is more than Number Tested "&amp;CHAR(10),""),IF(S120&gt;S119," * Tested Positive  for Age "&amp;R20&amp;" "&amp;S21&amp;" is more than Number Tested "&amp;CHAR(10),""),IF(T120&gt;T119," * Tested Positive  for Age "&amp;T20&amp;" "&amp;T21&amp;" is more than Number Tested "&amp;CHAR(10),""),IF(U120&gt;U119," * Tested Positive  for Age "&amp;T20&amp;" "&amp;U21&amp;" is more than Number Tested "&amp;CHAR(10),""),IF(V120&gt;V119," * Tested Positive  for Age "&amp;V20&amp;" "&amp;V21&amp;" is more than Number Tested "&amp;CHAR(10),""),IF(W120&gt;W119," * Tested Positive  for Age "&amp;V20&amp;" "&amp;W21&amp;" is more than Number Tested "&amp;CHAR(10),""),IF(X120&gt;X119," * Tested Positive  for Age "&amp;X20&amp;" "&amp;X21&amp;" is more than Number Tested "&amp;CHAR(10),""),IF(Y120&gt;Y119," * Tested Positive  for Age "&amp;X20&amp;" "&amp;Y21&amp;" is more than Number Tested "&amp;CHAR(10),""),IF(Z120&gt;Z119," * Tested Positive  for Age "&amp;Z20&amp;" "&amp;Z21&amp;" is more than Number Tested "&amp;CHAR(10),""),IF(AA120&gt;AA119," * Tested Positive  for Age "&amp;Z20&amp;" "&amp;AA21&amp;" is more than Number Tested "&amp;CHAR(10),""))</f>
        <v/>
      </c>
      <c r="AL119" s="1142"/>
      <c r="AM119" s="125"/>
      <c r="AN119" s="126"/>
      <c r="AO119" s="13">
        <v>58</v>
      </c>
      <c r="AP119" s="74"/>
      <c r="AQ119" s="75"/>
    </row>
    <row r="120" spans="1:43" ht="27" thickBot="1" x14ac:dyDescent="0.45">
      <c r="A120" s="1158"/>
      <c r="B120" s="95" t="s">
        <v>138</v>
      </c>
      <c r="C120" s="868" t="s">
        <v>1180</v>
      </c>
      <c r="D120" s="119"/>
      <c r="E120" s="102"/>
      <c r="F120" s="102"/>
      <c r="G120" s="102"/>
      <c r="H120" s="102"/>
      <c r="I120" s="364"/>
      <c r="J120" s="393"/>
      <c r="K120" s="106"/>
      <c r="L120" s="106"/>
      <c r="M120" s="106"/>
      <c r="N120" s="106"/>
      <c r="O120" s="106"/>
      <c r="P120" s="106"/>
      <c r="Q120" s="106"/>
      <c r="R120" s="106"/>
      <c r="S120" s="106"/>
      <c r="T120" s="106"/>
      <c r="U120" s="106"/>
      <c r="V120" s="106"/>
      <c r="W120" s="106"/>
      <c r="X120" s="106"/>
      <c r="Y120" s="106"/>
      <c r="Z120" s="106"/>
      <c r="AA120" s="316"/>
      <c r="AB120" s="376"/>
      <c r="AC120" s="377"/>
      <c r="AD120" s="377"/>
      <c r="AE120" s="377"/>
      <c r="AF120" s="377"/>
      <c r="AG120" s="377"/>
      <c r="AH120" s="377"/>
      <c r="AI120" s="303"/>
      <c r="AJ120" s="56"/>
      <c r="AK120" s="124"/>
      <c r="AL120" s="1148"/>
      <c r="AM120" s="125"/>
      <c r="AN120" s="126"/>
      <c r="AO120" s="13">
        <v>59</v>
      </c>
      <c r="AP120" s="74"/>
      <c r="AQ120" s="75"/>
    </row>
    <row r="121" spans="1:43" ht="27" thickBot="1" x14ac:dyDescent="0.45">
      <c r="A121" s="1120" t="s">
        <v>1051</v>
      </c>
      <c r="B121" s="1118"/>
      <c r="C121" s="1118"/>
      <c r="D121" s="1118"/>
      <c r="E121" s="1118"/>
      <c r="F121" s="1118"/>
      <c r="G121" s="1118"/>
      <c r="H121" s="1118"/>
      <c r="I121" s="1118"/>
      <c r="J121" s="1118"/>
      <c r="K121" s="1118"/>
      <c r="L121" s="1118"/>
      <c r="M121" s="1118"/>
      <c r="N121" s="1118"/>
      <c r="O121" s="1118"/>
      <c r="P121" s="1118"/>
      <c r="Q121" s="1118"/>
      <c r="R121" s="1118"/>
      <c r="S121" s="1118"/>
      <c r="T121" s="1118"/>
      <c r="U121" s="1118"/>
      <c r="V121" s="1118"/>
      <c r="W121" s="1118"/>
      <c r="X121" s="1118"/>
      <c r="Y121" s="1118"/>
      <c r="Z121" s="1118"/>
      <c r="AA121" s="1118"/>
      <c r="AB121" s="1117"/>
      <c r="AC121" s="1117"/>
      <c r="AD121" s="1117"/>
      <c r="AE121" s="1117"/>
      <c r="AF121" s="1117"/>
      <c r="AG121" s="1117"/>
      <c r="AH121" s="1117"/>
      <c r="AI121" s="1117"/>
      <c r="AJ121" s="1118"/>
      <c r="AK121" s="1118"/>
      <c r="AL121" s="1118"/>
      <c r="AM121" s="1118"/>
      <c r="AN121" s="1119"/>
      <c r="AO121" s="13">
        <v>60</v>
      </c>
      <c r="AP121" s="74"/>
      <c r="AQ121" s="75"/>
    </row>
    <row r="122" spans="1:43" ht="26.25" customHeight="1" x14ac:dyDescent="0.4">
      <c r="A122" s="1164" t="s">
        <v>36</v>
      </c>
      <c r="B122" s="1160" t="s">
        <v>321</v>
      </c>
      <c r="C122" s="1162" t="s">
        <v>305</v>
      </c>
      <c r="D122" s="1168"/>
      <c r="E122" s="1169"/>
      <c r="F122" s="1169"/>
      <c r="G122" s="1169"/>
      <c r="H122" s="1169"/>
      <c r="I122" s="1170"/>
      <c r="J122" s="1184" t="s">
        <v>3</v>
      </c>
      <c r="K122" s="1139"/>
      <c r="L122" s="1139" t="s">
        <v>4</v>
      </c>
      <c r="M122" s="1139"/>
      <c r="N122" s="1139" t="s">
        <v>5</v>
      </c>
      <c r="O122" s="1139"/>
      <c r="P122" s="1139" t="s">
        <v>6</v>
      </c>
      <c r="Q122" s="1139"/>
      <c r="R122" s="1139" t="s">
        <v>7</v>
      </c>
      <c r="S122" s="1139"/>
      <c r="T122" s="1139" t="s">
        <v>8</v>
      </c>
      <c r="U122" s="1139"/>
      <c r="V122" s="1139" t="s">
        <v>23</v>
      </c>
      <c r="W122" s="1139"/>
      <c r="X122" s="1139" t="s">
        <v>24</v>
      </c>
      <c r="Y122" s="1139"/>
      <c r="Z122" s="1139" t="s">
        <v>9</v>
      </c>
      <c r="AA122" s="1140"/>
      <c r="AB122" s="1144"/>
      <c r="AC122" s="1145"/>
      <c r="AD122" s="1145"/>
      <c r="AE122" s="1145"/>
      <c r="AF122" s="1145"/>
      <c r="AG122" s="1145"/>
      <c r="AH122" s="1145"/>
      <c r="AI122" s="1404"/>
      <c r="AJ122" s="1152" t="s">
        <v>19</v>
      </c>
      <c r="AK122" s="1154" t="s">
        <v>354</v>
      </c>
      <c r="AL122" s="1137" t="s">
        <v>360</v>
      </c>
      <c r="AM122" s="1132" t="s">
        <v>361</v>
      </c>
      <c r="AN122" s="1127" t="s">
        <v>361</v>
      </c>
      <c r="AO122" s="13">
        <v>61</v>
      </c>
      <c r="AP122" s="74"/>
      <c r="AQ122" s="75"/>
    </row>
    <row r="123" spans="1:43" ht="27" customHeight="1" thickBot="1" x14ac:dyDescent="0.45">
      <c r="A123" s="1165"/>
      <c r="B123" s="1161"/>
      <c r="C123" s="1231"/>
      <c r="D123" s="1171"/>
      <c r="E123" s="1172"/>
      <c r="F123" s="1172"/>
      <c r="G123" s="1172"/>
      <c r="H123" s="1172"/>
      <c r="I123" s="1173"/>
      <c r="J123" s="285" t="s">
        <v>10</v>
      </c>
      <c r="K123" s="68" t="s">
        <v>11</v>
      </c>
      <c r="L123" s="68" t="s">
        <v>10</v>
      </c>
      <c r="M123" s="68" t="s">
        <v>11</v>
      </c>
      <c r="N123" s="68" t="s">
        <v>10</v>
      </c>
      <c r="O123" s="68" t="s">
        <v>11</v>
      </c>
      <c r="P123" s="68" t="s">
        <v>10</v>
      </c>
      <c r="Q123" s="68" t="s">
        <v>11</v>
      </c>
      <c r="R123" s="68" t="s">
        <v>10</v>
      </c>
      <c r="S123" s="68" t="s">
        <v>11</v>
      </c>
      <c r="T123" s="68" t="s">
        <v>10</v>
      </c>
      <c r="U123" s="68" t="s">
        <v>11</v>
      </c>
      <c r="V123" s="68" t="s">
        <v>10</v>
      </c>
      <c r="W123" s="68" t="s">
        <v>11</v>
      </c>
      <c r="X123" s="68" t="s">
        <v>10</v>
      </c>
      <c r="Y123" s="68" t="s">
        <v>11</v>
      </c>
      <c r="Z123" s="68" t="s">
        <v>10</v>
      </c>
      <c r="AA123" s="357" t="s">
        <v>11</v>
      </c>
      <c r="AB123" s="359"/>
      <c r="AC123" s="360"/>
      <c r="AD123" s="360"/>
      <c r="AE123" s="360"/>
      <c r="AF123" s="360"/>
      <c r="AG123" s="360"/>
      <c r="AH123" s="360"/>
      <c r="AI123" s="361"/>
      <c r="AJ123" s="1153"/>
      <c r="AK123" s="1155"/>
      <c r="AL123" s="1138"/>
      <c r="AM123" s="1132"/>
      <c r="AN123" s="1128"/>
      <c r="AO123" s="13">
        <v>62</v>
      </c>
      <c r="AP123" s="74"/>
      <c r="AQ123" s="75"/>
    </row>
    <row r="124" spans="1:43" ht="25.5" customHeight="1" x14ac:dyDescent="0.4">
      <c r="A124" s="1245" t="s">
        <v>554</v>
      </c>
      <c r="B124" s="69" t="s">
        <v>617</v>
      </c>
      <c r="C124" s="867" t="s">
        <v>172</v>
      </c>
      <c r="D124" s="70"/>
      <c r="E124" s="71"/>
      <c r="F124" s="71"/>
      <c r="G124" s="71"/>
      <c r="H124" s="71"/>
      <c r="I124" s="71"/>
      <c r="J124" s="127"/>
      <c r="K124" s="127"/>
      <c r="L124" s="127"/>
      <c r="M124" s="127"/>
      <c r="N124" s="127"/>
      <c r="O124" s="127"/>
      <c r="P124" s="127"/>
      <c r="Q124" s="127"/>
      <c r="R124" s="127"/>
      <c r="S124" s="127"/>
      <c r="T124" s="127"/>
      <c r="U124" s="127"/>
      <c r="V124" s="127"/>
      <c r="W124" s="127"/>
      <c r="X124" s="127"/>
      <c r="Y124" s="127"/>
      <c r="Z124" s="127"/>
      <c r="AA124" s="319"/>
      <c r="AB124" s="375"/>
      <c r="AC124" s="345"/>
      <c r="AD124" s="345"/>
      <c r="AE124" s="345"/>
      <c r="AF124" s="345"/>
      <c r="AG124" s="345"/>
      <c r="AH124" s="345"/>
      <c r="AI124" s="302"/>
      <c r="AJ124" s="52">
        <f>SUM(D124:AA124)</f>
        <v>0</v>
      </c>
      <c r="AK124" s="128" t="str">
        <f>CONCATENATE(IF(D127&gt;D124," * Eligible for PrEP  for Age "&amp;D20&amp;" "&amp;D21&amp;" is more than Assessed for HIV risk"&amp;CHAR(10),""),IF(E127&gt;E124," * Eligible for PrEP  for Age "&amp;D20&amp;" "&amp;E21&amp;" is more than Assessed for HIV risk"&amp;CHAR(10),""),IF(F127&gt;F124," * Eligible for PrEP  for Age "&amp;F20&amp;" "&amp;F21&amp;" is more than Assessed for HIV risk"&amp;CHAR(10),""),IF(G127&gt;G124," * Eligible for PrEP  for Age "&amp;F20&amp;" "&amp;G21&amp;" is more than Assessed for HIV risk"&amp;CHAR(10),""),IF(H127&gt;H124," * Eligible for PrEP  for Age "&amp;H20&amp;" "&amp;H21&amp;" is more than Assessed for HIV risk"&amp;CHAR(10),""),IF(I127&gt;I124," * Eligible for PrEP  for Age "&amp;H20&amp;" "&amp;I21&amp;" is more than Assessed for HIV risk"&amp;CHAR(10),""),IF(J127&gt;J124," * Eligible for PrEP  for Age "&amp;J20&amp;" "&amp;J21&amp;" is more than Assessed for HIV risk"&amp;CHAR(10),""),IF(K127&gt;K124," * Eligible for PrEP  for Age "&amp;J20&amp;" "&amp;K21&amp;" is more than Assessed for HIV risk"&amp;CHAR(10),""),IF(L127&gt;L124," * Eligible for PrEP  for Age "&amp;L20&amp;" "&amp;L21&amp;" is more than Assessed for HIV risk"&amp;CHAR(10),""),IF(M127&gt;M124," * Eligible for PrEP  for Age "&amp;L20&amp;" "&amp;M21&amp;" is more than Assessed for HIV risk"&amp;CHAR(10),""),IF(N127&gt;N124," * Eligible for PrEP  for Age "&amp;N20&amp;" "&amp;N21&amp;" is more than Assessed for HIV risk"&amp;CHAR(10),""),IF(O127&gt;O124," * Eligible for PrEP  for Age "&amp;N20&amp;" "&amp;O21&amp;" is more than Assessed for HIV risk"&amp;CHAR(10),""),IF(P127&gt;P124," * Eligible for PrEP  for Age "&amp;P20&amp;" "&amp;P21&amp;" is more than Assessed for HIV risk"&amp;CHAR(10),""),IF(Q127&gt;Q124," * Eligible for PrEP  for Age "&amp;P20&amp;" "&amp;Q21&amp;" is more than Assessed for HIV risk"&amp;CHAR(10),""),IF(R127&gt;R124," * Eligible for PrEP  for Age "&amp;R20&amp;" "&amp;R21&amp;" is more than Assessed for HIV risk"&amp;CHAR(10),""),IF(S127&gt;S124," * Eligible for PrEP  for Age "&amp;R20&amp;" "&amp;S21&amp;" is more than Assessed for HIV risk"&amp;CHAR(10),""),IF(T127&gt;T124," * Eligible for PrEP  for Age "&amp;T20&amp;" "&amp;T21&amp;" is more than Assessed for HIV risk"&amp;CHAR(10),""),IF(U127&gt;U124," * Eligible for PrEP  for Age "&amp;T20&amp;" "&amp;U21&amp;" is more than Assessed for HIV risk"&amp;CHAR(10),""),IF(V127&gt;V124," * Eligible for PrEP  for Age "&amp;V20&amp;" "&amp;V21&amp;" is more than Assessed for HIV risk"&amp;CHAR(10),""),IF(W127&gt;W124," * Eligible for PrEP  for Age "&amp;V20&amp;" "&amp;W21&amp;" is more than Assessed for HIV risk"&amp;CHAR(10),""),IF(X127&gt;X124," * Eligible for PrEP  for Age "&amp;X20&amp;" "&amp;X21&amp;" is more than Assessed for HIV risk"&amp;CHAR(10),""),IF(Y127&gt;Y124," * Eligible for PrEP  for Age "&amp;X20&amp;" "&amp;Y21&amp;" is more than Assessed for HIV risk"&amp;CHAR(10),""),IF(Z127&gt;Z124," * Eligible for PrEP  for Age "&amp;Z20&amp;" "&amp;Z21&amp;" is more than Assessed for HIV risk"&amp;CHAR(10),""),IF(AA127&gt;AA124," * Eligible for PrEP  for Age "&amp;Z20&amp;" "&amp;AA21&amp;" is more than Assessed for HIV risk"&amp;CHAR(10),""))</f>
        <v/>
      </c>
      <c r="AL124" s="1141" t="str">
        <f>CONCATENATE(AK124,AK125,AK126,AK127,AK128,AK129,AK130,AK131,AK132,AK133,AK134,AK135,AK136,AK137,AK146,AK148,AK149,AK150,AK151,AK152,AK153,AK154,AK155,AK157,AK160,AK161,AK162,AK163,AK164,AK165,AK166,AK167,AK168,AK147,AK158,AK159,AK169,AK170,AK138,AK139,AK140,AK141,AK142,AK143,AK144,AK145,AK171,AK172,AK173,AK174,AK175,AK176)</f>
        <v/>
      </c>
      <c r="AM124" s="73"/>
      <c r="AN124" s="1133" t="str">
        <f>CONCATENATE(AM124,AM127,AM128,AM135,AM146,AM155,AM156,AM157,AM160,AM161,AM162,AM163,AM164,AM165,AM166,AM167,AM168)</f>
        <v/>
      </c>
      <c r="AO124" s="13">
        <v>63</v>
      </c>
      <c r="AP124" s="74"/>
      <c r="AQ124" s="75"/>
    </row>
    <row r="125" spans="1:43" ht="26.25" x14ac:dyDescent="0.4">
      <c r="A125" s="1192"/>
      <c r="B125" s="76" t="s">
        <v>532</v>
      </c>
      <c r="C125" s="559" t="s">
        <v>533</v>
      </c>
      <c r="D125" s="77"/>
      <c r="E125" s="78"/>
      <c r="F125" s="78"/>
      <c r="G125" s="78"/>
      <c r="H125" s="78"/>
      <c r="I125" s="78"/>
      <c r="J125" s="129"/>
      <c r="K125" s="129"/>
      <c r="L125" s="129"/>
      <c r="M125" s="129"/>
      <c r="N125" s="129"/>
      <c r="O125" s="129"/>
      <c r="P125" s="129"/>
      <c r="Q125" s="129"/>
      <c r="R125" s="129"/>
      <c r="S125" s="129"/>
      <c r="T125" s="129"/>
      <c r="U125" s="129"/>
      <c r="V125" s="129"/>
      <c r="W125" s="129"/>
      <c r="X125" s="129"/>
      <c r="Y125" s="129"/>
      <c r="Z125" s="129"/>
      <c r="AA125" s="320"/>
      <c r="AB125" s="375"/>
      <c r="AC125" s="345"/>
      <c r="AD125" s="345"/>
      <c r="AE125" s="345"/>
      <c r="AF125" s="345"/>
      <c r="AG125" s="345"/>
      <c r="AH125" s="345"/>
      <c r="AI125" s="302"/>
      <c r="AJ125" s="173">
        <f>SUM(J125:AA125)</f>
        <v>0</v>
      </c>
      <c r="AK125" s="30" t="str">
        <f>CONCATENATE(IF(D125&gt;D124," * Tested for Prep Initiation For age "&amp;$D$20&amp;" "&amp;$D$21&amp;" is more than Assessed for HIV risk"&amp;CHAR(10),""),IF(E125&gt;E124," * Tested for Prep Initiation For age "&amp;$D$20&amp;" "&amp;$E$21&amp;" is more than Assessed for HIV risk"&amp;CHAR(10),""),IF(F125&gt;F124," * Tested for Prep Initiation For age "&amp;$F$20&amp;" "&amp;$F$21&amp;" is more than Assessed for HIV risk"&amp;CHAR(10),""),IF(G125&gt;G124," * Tested for Prep Initiation For age "&amp;$F$20&amp;" "&amp;$G$21&amp;" is more than Assessed for HIV risk"&amp;CHAR(10),""),IF(H125&gt;H124," * Tested for Prep Initiation For age "&amp;$H$20&amp;" "&amp;$H$21&amp;" is more than Assessed for HIV risk"&amp;CHAR(10),""),IF(I125&gt;I124," * Tested for Prep Initiation For age "&amp;$H$20&amp;" "&amp;$I$21&amp;" is more than Assessed for HIV risk"&amp;CHAR(10),""),IF(J125&gt;J124," * Tested for Prep Initiation For age "&amp;$J$20&amp;" "&amp;$J$21&amp;" is more than Assessed for HIV risk"&amp;CHAR(10),""),IF(K125&gt;K124," * Tested for Prep Initiation For age "&amp;$J$20&amp;" "&amp;$K$21&amp;" is more than Assessed for HIV risk"&amp;CHAR(10),""),IF(L125&gt;L124," * Tested for Prep Initiation For age "&amp;$L$20&amp;" "&amp;$L$21&amp;" is more than Assessed for HIV risk"&amp;CHAR(10),""),IF(M125&gt;M124," * Tested for Prep Initiation For age "&amp;$L$20&amp;" "&amp;$M$21&amp;" is more than Assessed for HIV risk"&amp;CHAR(10),""),IF(N125&gt;N124," * Tested for Prep Initiation For age "&amp;$N$20&amp;" "&amp;$N$21&amp;" is more than Assessed for HIV risk"&amp;CHAR(10),""),IF(O125&gt;O124," * Tested for Prep Initiation For age "&amp;$N$20&amp;" "&amp;$O$21&amp;" is more than Assessed for HIV risk"&amp;CHAR(10),""),IF(P125&gt;P124," * Tested for Prep Initiation For age "&amp;$P$20&amp;" "&amp;$P$21&amp;" is more than Assessed for HIV risk"&amp;CHAR(10),""),IF(Q125&gt;Q124," * Tested for Prep Initiation For age "&amp;$P$20&amp;" "&amp;$Q$21&amp;" is more than Assessed for HIV risk"&amp;CHAR(10),""),IF(R125&gt;R124," * Tested for Prep Initiation For age "&amp;$R$20&amp;" "&amp;$R$21&amp;" is more than Assessed for HIV risk"&amp;CHAR(10),""),IF(S125&gt;S124," * Tested for Prep Initiation For age "&amp;$R$20&amp;" "&amp;$S$21&amp;" is more than Assessed for HIV risk"&amp;CHAR(10),""),IF(T125&gt;T124," * Tested for Prep Initiation For age "&amp;$T$20&amp;" "&amp;$T$21&amp;" is more than Assessed for HIV risk"&amp;CHAR(10),""),IF(U125&gt;U124," * Tested for Prep Initiation For age "&amp;$T$20&amp;" "&amp;$U$21&amp;" is more than Assessed for HIV risk"&amp;CHAR(10),""),IF(V125&gt;V124," * Tested for Prep Initiation For age "&amp;$V$20&amp;" "&amp;$V$21&amp;" is more than Assessed for HIV risk"&amp;CHAR(10),""),IF(W125&gt;W124," * Tested for Prep Initiation For age "&amp;$V$20&amp;" "&amp;$W$21&amp;" is more than Assessed for HIV risk"&amp;CHAR(10),""),IF(X125&gt;X124," * Tested for Prep Initiation For age "&amp;$X$20&amp;" "&amp;$X$21&amp;" is more than Assessed for HIV risk"&amp;CHAR(10),""),IF(Y125&gt;Y124," * Tested for Prep Initiation For age "&amp;$X$20&amp;" "&amp;$Y$21&amp;" is more than Assessed for HIV risk"&amp;CHAR(10),""),IF(Z125&gt;Z124," * Tested for Prep Initiation For age "&amp;$Z$20&amp;" "&amp;$Z$21&amp;" is more than Assessed for HIV risk"&amp;CHAR(10),""),IF(AA125&gt;AA124," * Tested for Prep Initiation For age "&amp;$Z$20&amp;" "&amp;$AA$21&amp;" is more than Assessed for HIV risk"&amp;CHAR(10),""))</f>
        <v/>
      </c>
      <c r="AL125" s="1142"/>
      <c r="AM125" s="31"/>
      <c r="AN125" s="1134"/>
      <c r="AO125" s="13">
        <v>64</v>
      </c>
      <c r="AP125" s="74"/>
      <c r="AQ125" s="75"/>
    </row>
    <row r="126" spans="1:43" ht="26.25" x14ac:dyDescent="0.4">
      <c r="A126" s="1192"/>
      <c r="B126" s="76" t="s">
        <v>618</v>
      </c>
      <c r="C126" s="559" t="s">
        <v>534</v>
      </c>
      <c r="D126" s="77"/>
      <c r="E126" s="78"/>
      <c r="F126" s="78"/>
      <c r="G126" s="78"/>
      <c r="H126" s="78"/>
      <c r="I126" s="78"/>
      <c r="J126" s="129"/>
      <c r="K126" s="129"/>
      <c r="L126" s="129"/>
      <c r="M126" s="129"/>
      <c r="N126" s="129"/>
      <c r="O126" s="129"/>
      <c r="P126" s="129"/>
      <c r="Q126" s="129"/>
      <c r="R126" s="129"/>
      <c r="S126" s="129"/>
      <c r="T126" s="129"/>
      <c r="U126" s="129"/>
      <c r="V126" s="129"/>
      <c r="W126" s="129"/>
      <c r="X126" s="129"/>
      <c r="Y126" s="129"/>
      <c r="Z126" s="129"/>
      <c r="AA126" s="320"/>
      <c r="AB126" s="375"/>
      <c r="AC126" s="345"/>
      <c r="AD126" s="345"/>
      <c r="AE126" s="345"/>
      <c r="AF126" s="345"/>
      <c r="AG126" s="345"/>
      <c r="AH126" s="345"/>
      <c r="AI126" s="302"/>
      <c r="AJ126" s="173">
        <f>SUM(J126:AA126)</f>
        <v>0</v>
      </c>
      <c r="AK126" s="130" t="str">
        <f>CONCATENATE(IF(D126&gt;D125," * screened for Prep initiation testing positive For age "&amp;$D$20&amp;" "&amp;$D$21&amp;" is more than HIV tested for PrEP initiation"&amp;CHAR(10),""),IF(E126&gt;E125," * screened for Prep initiation testing positive For age "&amp;$D$20&amp;" "&amp;$E$21&amp;" is more than HIV tested for PrEP initiation"&amp;CHAR(10),""),IF(F126&gt;F125," * screened for Prep initiation testing positive For age "&amp;$F$20&amp;" "&amp;$F$21&amp;" is more than HIV tested for PrEP initiation"&amp;CHAR(10),""),IF(G126&gt;G125," * screened for Prep initiation testing positive For age "&amp;$F$20&amp;" "&amp;$G$21&amp;" is more than HIV tested for PrEP initiation"&amp;CHAR(10),""),IF(H126&gt;H125," * screened for Prep initiation testing positive For age "&amp;$H$20&amp;" "&amp;$H$21&amp;" is more than HIV tested for PrEP initiation"&amp;CHAR(10),""),IF(I126&gt;I125," * screened for Prep initiation testing positive For age "&amp;$H$20&amp;" "&amp;$I$21&amp;" is more than HIV tested for PrEP initiation"&amp;CHAR(10),""),IF(J126&gt;J125," * screened for Prep initiation testing positive For age "&amp;$J$20&amp;" "&amp;$J$21&amp;" is more than HIV tested for PrEP initiation"&amp;CHAR(10),""),IF(K126&gt;K125," * screened for Prep initiation testing positive For age "&amp;$J$20&amp;" "&amp;$K$21&amp;" is more than HIV tested for PrEP initiation"&amp;CHAR(10),""),IF(L126&gt;L125," * screened for Prep initiation testing positive For age "&amp;$L$20&amp;" "&amp;$L$21&amp;" is more than HIV tested for PrEP initiation"&amp;CHAR(10),""),IF(M126&gt;M125," * screened for Prep initiation testing positive For age "&amp;$L$20&amp;" "&amp;$M$21&amp;" is more than HIV tested for PrEP initiation"&amp;CHAR(10),""),IF(N126&gt;N125," * screened for Prep initiation testing positive For age "&amp;$N$20&amp;" "&amp;$N$21&amp;" is more than HIV tested for PrEP initiation"&amp;CHAR(10),""),IF(O126&gt;O125," * screened for Prep initiation testing positive For age "&amp;$N$20&amp;" "&amp;$O$21&amp;" is more than HIV tested for PrEP initiation"&amp;CHAR(10),""),IF(P126&gt;P125," * screened for Prep initiation testing positive For age "&amp;$P$20&amp;" "&amp;$P$21&amp;" is more than HIV tested for PrEP initiation"&amp;CHAR(10),""),IF(Q126&gt;Q125," * screened for Prep initiation testing positive For age "&amp;$P$20&amp;" "&amp;$Q$21&amp;" is more than HIV tested for PrEP initiation"&amp;CHAR(10),""),IF(R126&gt;R125," * screened for Prep initiation testing positive For age "&amp;$R$20&amp;" "&amp;$R$21&amp;" is more than HIV tested for PrEP initiation"&amp;CHAR(10),""),IF(S126&gt;S125," * screened for Prep initiation testing positive For age "&amp;$R$20&amp;" "&amp;$S$21&amp;" is more than HIV tested for PrEP initiation"&amp;CHAR(10),""),IF(T126&gt;T125," * screened for Prep initiation testing positive For age "&amp;$T$20&amp;" "&amp;$T$21&amp;" is more than HIV tested for PrEP initiation"&amp;CHAR(10),""),IF(U126&gt;U125," * screened for Prep initiation testing positive For age "&amp;$T$20&amp;" "&amp;$U$21&amp;" is more than HIV tested for PrEP initiation"&amp;CHAR(10),""),IF(V126&gt;V125," * screened for Prep initiation testing positive For age "&amp;$V$20&amp;" "&amp;$V$21&amp;" is more than HIV tested for PrEP initiation"&amp;CHAR(10),""),IF(W126&gt;W125," * screened for Prep initiation testing positive For age "&amp;$V$20&amp;" "&amp;$W$21&amp;" is more than HIV tested for PrEP initiation"&amp;CHAR(10),""),IF(X126&gt;X125," * screened for Prep initiation testing positive For age "&amp;$X$20&amp;" "&amp;$X$21&amp;" is more than HIV tested for PrEP initiation"&amp;CHAR(10),""),IF(Y126&gt;Y125," * screened for Prep initiation testing positive For age "&amp;$X$20&amp;" "&amp;$Y$21&amp;" is more than HIV tested for PrEP initiation"&amp;CHAR(10),""),IF(Z126&gt;Z125," * screened for Prep initiation testing positive For age "&amp;$Z$20&amp;" "&amp;$Z$21&amp;" is more than HIV tested for PrEP initiation"&amp;CHAR(10),""),IF(AA126&gt;AA125," * screened for Prep initiation testing positive For age "&amp;$Z$20&amp;" "&amp;$AA$21&amp;" is more than HIV tested for PrEP initiation"&amp;CHAR(10),""))</f>
        <v/>
      </c>
      <c r="AL126" s="1142"/>
      <c r="AM126" s="31"/>
      <c r="AN126" s="1134"/>
      <c r="AO126" s="13">
        <v>65</v>
      </c>
      <c r="AP126" s="74"/>
      <c r="AQ126" s="75"/>
    </row>
    <row r="127" spans="1:43" ht="27" thickBot="1" x14ac:dyDescent="0.45">
      <c r="A127" s="1193"/>
      <c r="B127" s="87" t="s">
        <v>619</v>
      </c>
      <c r="C127" s="868" t="s">
        <v>173</v>
      </c>
      <c r="D127" s="103"/>
      <c r="E127" s="102"/>
      <c r="F127" s="102"/>
      <c r="G127" s="102"/>
      <c r="H127" s="102"/>
      <c r="I127" s="102"/>
      <c r="J127" s="89"/>
      <c r="K127" s="89"/>
      <c r="L127" s="89"/>
      <c r="M127" s="89"/>
      <c r="N127" s="89"/>
      <c r="O127" s="89"/>
      <c r="P127" s="89"/>
      <c r="Q127" s="89"/>
      <c r="R127" s="89"/>
      <c r="S127" s="89"/>
      <c r="T127" s="89"/>
      <c r="U127" s="89"/>
      <c r="V127" s="89"/>
      <c r="W127" s="89"/>
      <c r="X127" s="89"/>
      <c r="Y127" s="89"/>
      <c r="Z127" s="89"/>
      <c r="AA127" s="309"/>
      <c r="AB127" s="375"/>
      <c r="AC127" s="345"/>
      <c r="AD127" s="345"/>
      <c r="AE127" s="345"/>
      <c r="AF127" s="345"/>
      <c r="AG127" s="345"/>
      <c r="AH127" s="345"/>
      <c r="AI127" s="302"/>
      <c r="AJ127" s="192">
        <f t="shared" ref="AJ127:AJ176" si="46">SUM(D127:AA127)</f>
        <v>0</v>
      </c>
      <c r="AK127" s="130" t="str">
        <f>CONCATENATE(IF(D127&gt;(D125-D126)," * Eligible For Prep For age "&amp;$D$20&amp;" "&amp;$D$21&amp;" is more than Clients tested HIV Negative for Prep Initiation"&amp;CHAR(10),""),IF(E127&gt;(E125-E126)," * Eligible For Prep For age "&amp;$D$20&amp;" "&amp;$E$21&amp;" is more than Clients tested HIV Negative for Prep Initiation"&amp;CHAR(10),""),IF(F127&gt;(F125-F126)," * Eligible For Prep For age "&amp;$F$20&amp;" "&amp;$F$21&amp;" is more than Clients tested HIV Negative for Prep Initiation"&amp;CHAR(10),""),IF(G127&gt;(G125-G126)," * Eligible For Prep For age "&amp;$F$20&amp;" "&amp;$G$21&amp;" is more than Clients tested HIV Negative for Prep Initiation"&amp;CHAR(10),""),IF(H127&gt;(H125-H126)," * Eligible For Prep For age "&amp;$H$20&amp;" "&amp;$H$21&amp;" is more than Clients tested HIV Negative for Prep Initiation"&amp;CHAR(10),""),IF(I127&gt;(I125-I126)," * Eligible For Prep For age "&amp;$H$20&amp;" "&amp;$I$21&amp;" is more than Clients tested HIV Negative for Prep Initiation"&amp;CHAR(10),""),IF(J127&gt;(J125-J126)," * Eligible For Prep For age "&amp;$J$20&amp;" "&amp;$J$21&amp;" is more than Clients tested HIV Negative for Prep Initiation"&amp;CHAR(10),""),IF(K127&gt;(K125-K126)," * Eligible For Prep For age "&amp;$J$20&amp;" "&amp;$K$21&amp;" is more than Clients tested HIV Negative for Prep Initiation"&amp;CHAR(10),""),IF(L127&gt;(L125-L126)," * Eligible For Prep For age "&amp;$L$20&amp;" "&amp;$L$21&amp;" is more than Clients tested HIV Negative for Prep Initiation"&amp;CHAR(10),""),IF(M127&gt;(M125-M126)," * Eligible For Prep For age "&amp;$L$20&amp;" "&amp;$M$21&amp;" is more than Clients tested HIV Negative for Prep Initiation"&amp;CHAR(10),""),IF(N127&gt;(N125-N126)," * Eligible For Prep For age "&amp;$N$20&amp;" "&amp;$N$21&amp;" is more than Clients tested HIV Negative for Prep Initiation"&amp;CHAR(10),""),IF(O127&gt;(O125-O126)," * Eligible For Prep For age "&amp;$N$20&amp;" "&amp;$O$21&amp;" is more than Clients tested HIV Negative for Prep Initiation"&amp;CHAR(10),""),IF(P127&gt;(P125-P126)," * Eligible For Prep For age "&amp;$P$20&amp;" "&amp;$P$21&amp;" is more than Clients tested HIV Negative for Prep Initiation"&amp;CHAR(10),""),IF(Q127&gt;(Q125-Q126)," * Eligible For Prep For age "&amp;$P$20&amp;" "&amp;$Q$21&amp;" is more than Clients tested HIV Negative for Prep Initiation"&amp;CHAR(10),""),IF(R127&gt;(R125-R126)," * Eligible For Prep For age "&amp;$R$20&amp;" "&amp;$R$21&amp;" is more than Clients tested HIV Negative for Prep Initiation"&amp;CHAR(10),""),IF(S127&gt;(S125-S126)," * Eligible For Prep For age "&amp;$R$20&amp;" "&amp;$S$21&amp;" is more than Clients tested HIV Negative for Prep Initiation"&amp;CHAR(10),""),IF(T127&gt;(T125-T126)," * Eligible For Prep For age "&amp;$T$20&amp;" "&amp;$T$21&amp;" is more than Clients tested HIV Negative for Prep Initiation"&amp;CHAR(10),""),IF(U127&gt;(U125-U126)," * Eligible For Prep For age "&amp;$T$20&amp;" "&amp;$U$21&amp;" is more than Clients tested HIV Negative for Prep Initiation"&amp;CHAR(10),""),IF(V127&gt;(V125-V126)," * Eligible For Prep For age "&amp;$V$20&amp;" "&amp;$V$21&amp;" is more than Clients tested HIV Negative for Prep Initiation"&amp;CHAR(10),""),IF(W127&gt;(W125-W126)," * Eligible For Prep For age "&amp;$V$20&amp;" "&amp;$W$21&amp;" is more than Clients tested HIV Negative for Prep Initiation"&amp;CHAR(10),""),IF(X127&gt;(X125-X126)," * Eligible For Prep For age "&amp;$X$20&amp;" "&amp;$X$21&amp;" is more than Clients tested HIV Negative for Prep Initiation"&amp;CHAR(10),""),IF(Y127&gt;(Y125-Y126)," * Eligible For Prep For age "&amp;$X$20&amp;" "&amp;$Y$21&amp;" is more than Clients tested HIV Negative for Prep Initiation"&amp;CHAR(10),""),IF(Z127&gt;(Z125-Z126)," * Eligible For Prep For age "&amp;$Z$20&amp;" "&amp;$Z$21&amp;" is more than Clients tested HIV Negative for Prep Initiation"&amp;CHAR(10),""),IF(AA127&gt;(AA125-AA126)," * Eligible For Prep For age "&amp;$Z$20&amp;" "&amp;$AA$21&amp;" is more than Clients tested HIV Negative for Prep Initiation"&amp;CHAR(10),""))</f>
        <v/>
      </c>
      <c r="AL127" s="1142"/>
      <c r="AM127" s="31"/>
      <c r="AN127" s="1134"/>
      <c r="AO127" s="13">
        <v>66</v>
      </c>
      <c r="AP127" s="74"/>
      <c r="AQ127" s="75"/>
    </row>
    <row r="128" spans="1:43" ht="27" thickBot="1" x14ac:dyDescent="0.45">
      <c r="A128" s="948" t="s">
        <v>555</v>
      </c>
      <c r="B128" s="537" t="s">
        <v>603</v>
      </c>
      <c r="C128" s="554" t="s">
        <v>174</v>
      </c>
      <c r="D128" s="538"/>
      <c r="E128" s="467"/>
      <c r="F128" s="467"/>
      <c r="G128" s="467"/>
      <c r="H128" s="467"/>
      <c r="I128" s="467"/>
      <c r="J128" s="541">
        <f t="shared" ref="J128:AA128" si="47">SUM(J129:J137)</f>
        <v>0</v>
      </c>
      <c r="K128" s="541">
        <f t="shared" si="47"/>
        <v>0</v>
      </c>
      <c r="L128" s="541">
        <f t="shared" si="47"/>
        <v>0</v>
      </c>
      <c r="M128" s="541">
        <f t="shared" si="47"/>
        <v>0</v>
      </c>
      <c r="N128" s="541">
        <f t="shared" si="47"/>
        <v>0</v>
      </c>
      <c r="O128" s="541">
        <f t="shared" si="47"/>
        <v>0</v>
      </c>
      <c r="P128" s="541">
        <f t="shared" si="47"/>
        <v>0</v>
      </c>
      <c r="Q128" s="541">
        <f t="shared" si="47"/>
        <v>0</v>
      </c>
      <c r="R128" s="541">
        <f t="shared" si="47"/>
        <v>0</v>
      </c>
      <c r="S128" s="541">
        <f t="shared" si="47"/>
        <v>0</v>
      </c>
      <c r="T128" s="541">
        <f t="shared" si="47"/>
        <v>0</v>
      </c>
      <c r="U128" s="541">
        <f t="shared" si="47"/>
        <v>0</v>
      </c>
      <c r="V128" s="541">
        <f t="shared" si="47"/>
        <v>0</v>
      </c>
      <c r="W128" s="541">
        <f t="shared" si="47"/>
        <v>0</v>
      </c>
      <c r="X128" s="541">
        <f t="shared" si="47"/>
        <v>0</v>
      </c>
      <c r="Y128" s="541">
        <f t="shared" si="47"/>
        <v>0</v>
      </c>
      <c r="Z128" s="541">
        <f t="shared" si="47"/>
        <v>0</v>
      </c>
      <c r="AA128" s="541">
        <f t="shared" si="47"/>
        <v>0</v>
      </c>
      <c r="AB128" s="375"/>
      <c r="AC128" s="345"/>
      <c r="AD128" s="345"/>
      <c r="AE128" s="345"/>
      <c r="AF128" s="345"/>
      <c r="AG128" s="345"/>
      <c r="AH128" s="345"/>
      <c r="AI128" s="302"/>
      <c r="AJ128" s="541">
        <f t="shared" ref="AJ128" si="48">SUM(AJ129:AJ137)</f>
        <v>0</v>
      </c>
      <c r="AK128" s="116" t="str">
        <f>CONCATENATE(IF(D128&gt;D127," * Initiated on Prep For age "&amp;$D$20&amp;" "&amp;$D$21&amp;" is more than Eligible for Prep initiation"&amp;CHAR(10),""),IF(E128&gt;E127," * Initiated on Prep For age "&amp;$D$20&amp;" "&amp;$E$21&amp;" is more than Eligible for Prep initiation"&amp;CHAR(10),""),IF(F128&gt;F127," * Initiated on Prep For age "&amp;$F$20&amp;" "&amp;$F$21&amp;" is more than Eligible for Prep initiation"&amp;CHAR(10),""),IF(G128&gt;G127," * Initiated on Prep For age "&amp;$F$20&amp;" "&amp;$G$21&amp;" is more than Eligible for Prep initiation"&amp;CHAR(10),""),IF(H128&gt;H127," * Initiated on Prep For age "&amp;$H$20&amp;" "&amp;$H$21&amp;" is more than Eligible for Prep initiation"&amp;CHAR(10),""),IF(I128&gt;I127," * Initiated on Prep For age "&amp;$H$20&amp;" "&amp;$I$21&amp;" is more than Eligible for Prep initiation"&amp;CHAR(10),""),IF(J128&gt;J127," * Initiated on Prep For age "&amp;$J$20&amp;" "&amp;$J$21&amp;" is more than Eligible for Prep initiation"&amp;CHAR(10),""),IF(K128&gt;K127," * Initiated on Prep For age "&amp;$J$20&amp;" "&amp;$K$21&amp;" is more than Eligible for Prep initiation"&amp;CHAR(10),""),IF(L128&gt;L127," * Initiated on Prep For age "&amp;$L$20&amp;" "&amp;$L$21&amp;" is more than Eligible for Prep initiation"&amp;CHAR(10),""),IF(M128&gt;M127," * Initiated on Prep For age "&amp;$L$20&amp;" "&amp;$M$21&amp;" is more than Eligible for Prep initiation"&amp;CHAR(10),""),IF(N128&gt;N127," * Initiated on Prep For age "&amp;$N$20&amp;" "&amp;$N$21&amp;" is more than Eligible for Prep initiation"&amp;CHAR(10),""),IF(O128&gt;O127," * Initiated on Prep For age "&amp;$N$20&amp;" "&amp;$O$21&amp;" is more than Eligible for Prep initiation"&amp;CHAR(10),""),IF(P128&gt;P127," * Initiated on Prep For age "&amp;$P$20&amp;" "&amp;$P$21&amp;" is more than Eligible for Prep initiation"&amp;CHAR(10),""),IF(Q128&gt;Q127," * Initiated on Prep For age "&amp;$P$20&amp;" "&amp;$Q$21&amp;" is more than Eligible for Prep initiation"&amp;CHAR(10),""),IF(R128&gt;R127," * Initiated on Prep For age "&amp;$R$20&amp;" "&amp;$R$21&amp;" is more than Eligible for Prep initiation"&amp;CHAR(10),""),IF(S128&gt;S127," * Initiated on Prep For age "&amp;$R$20&amp;" "&amp;$S$21&amp;" is more than Eligible for Prep initiation"&amp;CHAR(10),""),IF(T128&gt;T127," * Initiated on Prep For age "&amp;$T$20&amp;" "&amp;$T$21&amp;" is more than Eligible for Prep initiation"&amp;CHAR(10),""),IF(U128&gt;U127," * Initiated on Prep For age "&amp;$T$20&amp;" "&amp;$U$21&amp;" is more than Eligible for Prep initiation"&amp;CHAR(10),""),IF(V128&gt;V127," * Initiated on Prep For age "&amp;$V$20&amp;" "&amp;$V$21&amp;" is more than Eligible for Prep initiation"&amp;CHAR(10),""),IF(W128&gt;W127," * Initiated on Prep For age "&amp;$V$20&amp;" "&amp;$W$21&amp;" is more than Eligible for Prep initiation"&amp;CHAR(10),""),IF(X128&gt;X127," * Initiated on Prep For age "&amp;$X$20&amp;" "&amp;$X$21&amp;" is more than Eligible for Prep initiation"&amp;CHAR(10),""),IF(Y128&gt;Y127," * Initiated on Prep For age "&amp;$X$20&amp;" "&amp;$Y$21&amp;" is more than Eligible for Prep initiation"&amp;CHAR(10),""),IF(Z128&gt;Z127," * Initiated on Prep For age "&amp;$Z$20&amp;" "&amp;$Z$21&amp;" is more than Eligible for Prep initiation"&amp;CHAR(10),""),IF(AA128&gt;AA127," * Initiated on Prep For age "&amp;$Z$20&amp;" "&amp;$AA$21&amp;" is more than Eligible for Prep initiation"&amp;CHAR(10),""))</f>
        <v/>
      </c>
      <c r="AL128" s="1142"/>
      <c r="AM128" s="31"/>
      <c r="AN128" s="1134"/>
      <c r="AO128" s="13">
        <v>67</v>
      </c>
      <c r="AP128" s="74"/>
      <c r="AQ128" s="75"/>
    </row>
    <row r="129" spans="1:43" ht="25.5" customHeight="1" x14ac:dyDescent="0.4">
      <c r="A129" s="1233" t="s">
        <v>547</v>
      </c>
      <c r="B129" s="91" t="s">
        <v>1160</v>
      </c>
      <c r="C129" s="558" t="s">
        <v>1161</v>
      </c>
      <c r="D129" s="98"/>
      <c r="E129" s="99"/>
      <c r="F129" s="99"/>
      <c r="G129" s="99"/>
      <c r="H129" s="99"/>
      <c r="I129" s="99"/>
      <c r="J129" s="94"/>
      <c r="K129" s="94"/>
      <c r="L129" s="94"/>
      <c r="M129" s="94"/>
      <c r="N129" s="94"/>
      <c r="O129" s="94"/>
      <c r="P129" s="94"/>
      <c r="Q129" s="94"/>
      <c r="R129" s="94"/>
      <c r="S129" s="94"/>
      <c r="T129" s="94"/>
      <c r="U129" s="94"/>
      <c r="V129" s="94"/>
      <c r="W129" s="94"/>
      <c r="X129" s="94"/>
      <c r="Y129" s="94"/>
      <c r="Z129" s="94"/>
      <c r="AA129" s="505"/>
      <c r="AB129" s="375"/>
      <c r="AC129" s="345"/>
      <c r="AD129" s="345"/>
      <c r="AE129" s="345"/>
      <c r="AF129" s="345"/>
      <c r="AG129" s="345"/>
      <c r="AH129" s="345"/>
      <c r="AI129" s="302"/>
      <c r="AJ129" s="173">
        <f t="shared" ref="AJ129:AJ131" si="49">SUM(J129:AA129)</f>
        <v>0</v>
      </c>
      <c r="AK129" s="116"/>
      <c r="AL129" s="1142"/>
      <c r="AM129" s="31"/>
      <c r="AN129" s="1134"/>
      <c r="AO129" s="13">
        <v>68</v>
      </c>
      <c r="AP129" s="74"/>
      <c r="AQ129" s="75"/>
    </row>
    <row r="130" spans="1:43" ht="26.25" x14ac:dyDescent="0.4">
      <c r="A130" s="1234"/>
      <c r="B130" s="76" t="s">
        <v>364</v>
      </c>
      <c r="C130" s="559" t="s">
        <v>1162</v>
      </c>
      <c r="D130" s="77"/>
      <c r="E130" s="78"/>
      <c r="F130" s="78"/>
      <c r="G130" s="78"/>
      <c r="H130" s="78"/>
      <c r="I130" s="78"/>
      <c r="J130" s="79"/>
      <c r="K130" s="79"/>
      <c r="L130" s="79"/>
      <c r="M130" s="79"/>
      <c r="N130" s="79"/>
      <c r="O130" s="79"/>
      <c r="P130" s="79"/>
      <c r="Q130" s="79"/>
      <c r="R130" s="79"/>
      <c r="S130" s="79"/>
      <c r="T130" s="79"/>
      <c r="U130" s="79"/>
      <c r="V130" s="79"/>
      <c r="W130" s="79"/>
      <c r="X130" s="79"/>
      <c r="Y130" s="79"/>
      <c r="Z130" s="79"/>
      <c r="AA130" s="506"/>
      <c r="AB130" s="375"/>
      <c r="AC130" s="345"/>
      <c r="AD130" s="345"/>
      <c r="AE130" s="345"/>
      <c r="AF130" s="345"/>
      <c r="AG130" s="345"/>
      <c r="AH130" s="345"/>
      <c r="AI130" s="302"/>
      <c r="AJ130" s="173">
        <f t="shared" si="49"/>
        <v>0</v>
      </c>
      <c r="AK130" s="116"/>
      <c r="AL130" s="1142"/>
      <c r="AM130" s="31"/>
      <c r="AN130" s="1134"/>
      <c r="AO130" s="13">
        <v>69</v>
      </c>
      <c r="AP130" s="74"/>
      <c r="AQ130" s="75"/>
    </row>
    <row r="131" spans="1:43" ht="27" thickBot="1" x14ac:dyDescent="0.45">
      <c r="A131" s="1234"/>
      <c r="B131" s="76" t="s">
        <v>365</v>
      </c>
      <c r="C131" s="559" t="s">
        <v>1163</v>
      </c>
      <c r="D131" s="77"/>
      <c r="E131" s="78"/>
      <c r="F131" s="78"/>
      <c r="G131" s="78"/>
      <c r="H131" s="78"/>
      <c r="I131" s="78"/>
      <c r="J131" s="79"/>
      <c r="K131" s="78"/>
      <c r="L131" s="79"/>
      <c r="M131" s="78"/>
      <c r="N131" s="79"/>
      <c r="O131" s="78"/>
      <c r="P131" s="79"/>
      <c r="Q131" s="78"/>
      <c r="R131" s="79"/>
      <c r="S131" s="78"/>
      <c r="T131" s="79"/>
      <c r="U131" s="78"/>
      <c r="V131" s="79"/>
      <c r="W131" s="78"/>
      <c r="X131" s="79"/>
      <c r="Y131" s="78"/>
      <c r="Z131" s="79"/>
      <c r="AA131" s="78"/>
      <c r="AB131" s="375"/>
      <c r="AC131" s="345"/>
      <c r="AD131" s="345"/>
      <c r="AE131" s="345"/>
      <c r="AF131" s="345"/>
      <c r="AG131" s="345"/>
      <c r="AH131" s="345"/>
      <c r="AI131" s="302"/>
      <c r="AJ131" s="380">
        <f t="shared" si="49"/>
        <v>0</v>
      </c>
      <c r="AK131" s="116"/>
      <c r="AL131" s="1142"/>
      <c r="AM131" s="31"/>
      <c r="AN131" s="1134"/>
      <c r="AO131" s="13">
        <v>70</v>
      </c>
      <c r="AP131" s="74"/>
      <c r="AQ131" s="75"/>
    </row>
    <row r="132" spans="1:43" ht="27" thickBot="1" x14ac:dyDescent="0.45">
      <c r="A132" s="1234"/>
      <c r="B132" s="76" t="s">
        <v>366</v>
      </c>
      <c r="C132" s="559" t="s">
        <v>1164</v>
      </c>
      <c r="D132" s="77"/>
      <c r="E132" s="78"/>
      <c r="F132" s="78"/>
      <c r="G132" s="78"/>
      <c r="H132" s="78"/>
      <c r="I132" s="78"/>
      <c r="J132" s="78"/>
      <c r="K132" s="78"/>
      <c r="L132" s="78"/>
      <c r="M132" s="78"/>
      <c r="N132" s="78"/>
      <c r="O132" s="78"/>
      <c r="P132" s="78"/>
      <c r="Q132" s="78"/>
      <c r="R132" s="78"/>
      <c r="S132" s="78"/>
      <c r="T132" s="78"/>
      <c r="U132" s="78"/>
      <c r="V132" s="78"/>
      <c r="W132" s="78"/>
      <c r="X132" s="78"/>
      <c r="Y132" s="78"/>
      <c r="Z132" s="78"/>
      <c r="AA132" s="78"/>
      <c r="AB132" s="375"/>
      <c r="AC132" s="345"/>
      <c r="AD132" s="345"/>
      <c r="AE132" s="345"/>
      <c r="AF132" s="345"/>
      <c r="AG132" s="345"/>
      <c r="AH132" s="345"/>
      <c r="AI132" s="302"/>
      <c r="AJ132" s="788"/>
      <c r="AK132" s="116"/>
      <c r="AL132" s="1142"/>
      <c r="AM132" s="31"/>
      <c r="AN132" s="1134"/>
      <c r="AO132" s="13">
        <v>71</v>
      </c>
      <c r="AP132" s="74"/>
      <c r="AQ132" s="75"/>
    </row>
    <row r="133" spans="1:43" ht="26.25" x14ac:dyDescent="0.4">
      <c r="A133" s="1234"/>
      <c r="B133" s="76" t="s">
        <v>367</v>
      </c>
      <c r="C133" s="559" t="s">
        <v>1165</v>
      </c>
      <c r="D133" s="77"/>
      <c r="E133" s="78"/>
      <c r="F133" s="78"/>
      <c r="G133" s="78"/>
      <c r="H133" s="78"/>
      <c r="I133" s="78"/>
      <c r="J133" s="78"/>
      <c r="K133" s="79"/>
      <c r="L133" s="78"/>
      <c r="M133" s="79"/>
      <c r="N133" s="78"/>
      <c r="O133" s="79"/>
      <c r="P133" s="78"/>
      <c r="Q133" s="79"/>
      <c r="R133" s="78"/>
      <c r="S133" s="79"/>
      <c r="T133" s="78"/>
      <c r="U133" s="79"/>
      <c r="V133" s="78"/>
      <c r="W133" s="79"/>
      <c r="X133" s="78"/>
      <c r="Y133" s="79"/>
      <c r="Z133" s="78"/>
      <c r="AA133" s="506"/>
      <c r="AB133" s="375"/>
      <c r="AC133" s="345"/>
      <c r="AD133" s="345"/>
      <c r="AE133" s="345"/>
      <c r="AF133" s="345"/>
      <c r="AG133" s="345"/>
      <c r="AH133" s="345"/>
      <c r="AI133" s="302"/>
      <c r="AJ133" s="52">
        <f>SUM(J133:AA133)</f>
        <v>0</v>
      </c>
      <c r="AK133" s="116"/>
      <c r="AL133" s="1142"/>
      <c r="AM133" s="31"/>
      <c r="AN133" s="1134"/>
      <c r="AO133" s="13">
        <v>72</v>
      </c>
      <c r="AP133" s="74"/>
      <c r="AQ133" s="75"/>
    </row>
    <row r="134" spans="1:43" ht="27" thickBot="1" x14ac:dyDescent="0.45">
      <c r="A134" s="1234"/>
      <c r="B134" s="87" t="s">
        <v>1170</v>
      </c>
      <c r="C134" s="559" t="s">
        <v>1166</v>
      </c>
      <c r="D134" s="77"/>
      <c r="E134" s="78"/>
      <c r="F134" s="78"/>
      <c r="G134" s="78"/>
      <c r="H134" s="78"/>
      <c r="I134" s="78"/>
      <c r="J134" s="78"/>
      <c r="K134" s="79"/>
      <c r="L134" s="78"/>
      <c r="M134" s="79"/>
      <c r="N134" s="78"/>
      <c r="O134" s="79"/>
      <c r="P134" s="78"/>
      <c r="Q134" s="78"/>
      <c r="R134" s="78"/>
      <c r="S134" s="78"/>
      <c r="T134" s="78"/>
      <c r="U134" s="78"/>
      <c r="V134" s="78"/>
      <c r="W134" s="78"/>
      <c r="X134" s="78"/>
      <c r="Y134" s="78"/>
      <c r="Z134" s="78"/>
      <c r="AA134" s="78"/>
      <c r="AB134" s="375"/>
      <c r="AC134" s="345"/>
      <c r="AD134" s="345"/>
      <c r="AE134" s="345"/>
      <c r="AF134" s="345"/>
      <c r="AG134" s="345"/>
      <c r="AH134" s="345"/>
      <c r="AI134" s="302"/>
      <c r="AJ134" s="192">
        <f>SUM(J134:AA134)</f>
        <v>0</v>
      </c>
      <c r="AK134" s="116"/>
      <c r="AL134" s="1142"/>
      <c r="AM134" s="31"/>
      <c r="AN134" s="1134"/>
      <c r="AO134" s="13">
        <v>73</v>
      </c>
      <c r="AP134" s="74"/>
      <c r="AQ134" s="75"/>
    </row>
    <row r="135" spans="1:43" ht="25.5" customHeight="1" x14ac:dyDescent="0.4">
      <c r="A135" s="1234"/>
      <c r="B135" s="91" t="s">
        <v>1171</v>
      </c>
      <c r="C135" s="559" t="s">
        <v>1167</v>
      </c>
      <c r="D135" s="77"/>
      <c r="E135" s="78"/>
      <c r="F135" s="78"/>
      <c r="G135" s="78"/>
      <c r="H135" s="78"/>
      <c r="I135" s="78"/>
      <c r="J135" s="79"/>
      <c r="K135" s="78"/>
      <c r="L135" s="79"/>
      <c r="M135" s="78"/>
      <c r="N135" s="79"/>
      <c r="O135" s="78"/>
      <c r="P135" s="79"/>
      <c r="Q135" s="78"/>
      <c r="R135" s="79"/>
      <c r="S135" s="78"/>
      <c r="T135" s="79"/>
      <c r="U135" s="78"/>
      <c r="V135" s="79"/>
      <c r="W135" s="78"/>
      <c r="X135" s="79"/>
      <c r="Y135" s="78"/>
      <c r="Z135" s="79"/>
      <c r="AA135" s="78"/>
      <c r="AB135" s="375"/>
      <c r="AC135" s="345"/>
      <c r="AD135" s="345"/>
      <c r="AE135" s="345"/>
      <c r="AF135" s="345"/>
      <c r="AG135" s="345"/>
      <c r="AH135" s="345"/>
      <c r="AI135" s="302"/>
      <c r="AJ135" s="188">
        <f>SUM(J135:AA135)</f>
        <v>0</v>
      </c>
      <c r="AK135" s="130"/>
      <c r="AL135" s="1142"/>
      <c r="AM135" s="31"/>
      <c r="AN135" s="1134"/>
      <c r="AO135" s="13">
        <v>74</v>
      </c>
      <c r="AP135" s="74"/>
      <c r="AQ135" s="75"/>
    </row>
    <row r="136" spans="1:43" ht="27" thickBot="1" x14ac:dyDescent="0.45">
      <c r="A136" s="1234"/>
      <c r="B136" s="76" t="s">
        <v>1172</v>
      </c>
      <c r="C136" s="559" t="s">
        <v>1168</v>
      </c>
      <c r="D136" s="77"/>
      <c r="E136" s="78"/>
      <c r="F136" s="78"/>
      <c r="G136" s="78"/>
      <c r="H136" s="78"/>
      <c r="I136" s="78"/>
      <c r="J136" s="78"/>
      <c r="K136" s="79"/>
      <c r="L136" s="78"/>
      <c r="M136" s="79"/>
      <c r="N136" s="78"/>
      <c r="O136" s="79"/>
      <c r="P136" s="78"/>
      <c r="Q136" s="79"/>
      <c r="R136" s="78"/>
      <c r="S136" s="79"/>
      <c r="T136" s="78"/>
      <c r="U136" s="79"/>
      <c r="V136" s="78"/>
      <c r="W136" s="79"/>
      <c r="X136" s="78"/>
      <c r="Y136" s="79"/>
      <c r="Z136" s="78"/>
      <c r="AA136" s="506"/>
      <c r="AB136" s="375"/>
      <c r="AC136" s="345"/>
      <c r="AD136" s="345"/>
      <c r="AE136" s="345"/>
      <c r="AF136" s="345"/>
      <c r="AG136" s="345"/>
      <c r="AH136" s="345"/>
      <c r="AI136" s="302"/>
      <c r="AJ136" s="173">
        <f>SUM(J136:AA136)</f>
        <v>0</v>
      </c>
      <c r="AK136" s="116"/>
      <c r="AL136" s="1142"/>
      <c r="AM136" s="31"/>
      <c r="AN136" s="1134"/>
      <c r="AO136" s="13">
        <v>75</v>
      </c>
      <c r="AP136" s="74"/>
      <c r="AQ136" s="75"/>
    </row>
    <row r="137" spans="1:43" ht="27" thickBot="1" x14ac:dyDescent="0.45">
      <c r="A137" s="1235"/>
      <c r="B137" s="118" t="s">
        <v>1258</v>
      </c>
      <c r="C137" s="864" t="s">
        <v>1169</v>
      </c>
      <c r="D137" s="133"/>
      <c r="E137" s="120"/>
      <c r="F137" s="120"/>
      <c r="G137" s="120"/>
      <c r="H137" s="120"/>
      <c r="I137" s="120"/>
      <c r="J137" s="120"/>
      <c r="K137" s="541">
        <f>SUM(K138:K139)</f>
        <v>0</v>
      </c>
      <c r="L137" s="120"/>
      <c r="M137" s="541">
        <f>SUM(M138:M139)</f>
        <v>0</v>
      </c>
      <c r="N137" s="120"/>
      <c r="O137" s="541">
        <f>SUM(O138:O139)</f>
        <v>0</v>
      </c>
      <c r="P137" s="120"/>
      <c r="Q137" s="541">
        <f>SUM(Q138:Q139)</f>
        <v>0</v>
      </c>
      <c r="R137" s="120"/>
      <c r="S137" s="541">
        <f>SUM(S138:S139)</f>
        <v>0</v>
      </c>
      <c r="T137" s="120"/>
      <c r="U137" s="541">
        <f>SUM(U138:U139)</f>
        <v>0</v>
      </c>
      <c r="V137" s="120"/>
      <c r="W137" s="541">
        <f>SUM(W138:W139)</f>
        <v>0</v>
      </c>
      <c r="X137" s="120"/>
      <c r="Y137" s="541">
        <f>SUM(Y138:Y139)</f>
        <v>0</v>
      </c>
      <c r="Z137" s="120"/>
      <c r="AA137" s="541">
        <f>SUM(AA138:AA139)</f>
        <v>0</v>
      </c>
      <c r="AB137" s="375"/>
      <c r="AC137" s="345"/>
      <c r="AD137" s="345"/>
      <c r="AE137" s="345"/>
      <c r="AF137" s="345"/>
      <c r="AG137" s="345"/>
      <c r="AH137" s="345"/>
      <c r="AI137" s="302"/>
      <c r="AJ137" s="173">
        <f t="shared" ref="AJ137:AJ145" si="50">SUM(J137:AA137)</f>
        <v>0</v>
      </c>
      <c r="AK137" s="116"/>
      <c r="AL137" s="1142"/>
      <c r="AM137" s="31"/>
      <c r="AN137" s="1134"/>
      <c r="AO137" s="13">
        <v>76</v>
      </c>
      <c r="AP137" s="74"/>
      <c r="AQ137" s="75"/>
    </row>
    <row r="138" spans="1:43" ht="30.75" customHeight="1" x14ac:dyDescent="0.4">
      <c r="A138" s="1226" t="s">
        <v>1270</v>
      </c>
      <c r="B138" s="979" t="s">
        <v>1154</v>
      </c>
      <c r="C138" s="980" t="s">
        <v>1256</v>
      </c>
      <c r="D138" s="876"/>
      <c r="E138" s="877"/>
      <c r="F138" s="877"/>
      <c r="G138" s="877"/>
      <c r="H138" s="877"/>
      <c r="I138" s="877"/>
      <c r="J138" s="877"/>
      <c r="K138" s="878"/>
      <c r="L138" s="877"/>
      <c r="M138" s="878"/>
      <c r="N138" s="877"/>
      <c r="O138" s="878"/>
      <c r="P138" s="877"/>
      <c r="Q138" s="878"/>
      <c r="R138" s="877"/>
      <c r="S138" s="878"/>
      <c r="T138" s="877"/>
      <c r="U138" s="878"/>
      <c r="V138" s="877"/>
      <c r="W138" s="878"/>
      <c r="X138" s="877"/>
      <c r="Y138" s="878"/>
      <c r="Z138" s="877"/>
      <c r="AA138" s="879"/>
      <c r="AB138" s="345"/>
      <c r="AC138" s="345"/>
      <c r="AD138" s="345"/>
      <c r="AE138" s="345"/>
      <c r="AF138" s="345"/>
      <c r="AG138" s="345"/>
      <c r="AH138" s="345"/>
      <c r="AI138" s="302"/>
      <c r="AJ138" s="173">
        <f t="shared" si="50"/>
        <v>0</v>
      </c>
      <c r="AK138" s="865"/>
      <c r="AL138" s="1142"/>
      <c r="AM138" s="31"/>
      <c r="AN138" s="1134"/>
      <c r="AO138" s="13"/>
      <c r="AP138" s="74"/>
      <c r="AQ138" s="75"/>
    </row>
    <row r="139" spans="1:43" ht="27" thickBot="1" x14ac:dyDescent="0.45">
      <c r="A139" s="1227"/>
      <c r="B139" s="981" t="s">
        <v>1155</v>
      </c>
      <c r="C139" s="982" t="s">
        <v>1257</v>
      </c>
      <c r="D139" s="880"/>
      <c r="E139" s="881"/>
      <c r="F139" s="881"/>
      <c r="G139" s="881"/>
      <c r="H139" s="881"/>
      <c r="I139" s="881"/>
      <c r="J139" s="881"/>
      <c r="K139" s="882"/>
      <c r="L139" s="881"/>
      <c r="M139" s="882"/>
      <c r="N139" s="881"/>
      <c r="O139" s="882"/>
      <c r="P139" s="881"/>
      <c r="Q139" s="882"/>
      <c r="R139" s="881"/>
      <c r="S139" s="882"/>
      <c r="T139" s="881"/>
      <c r="U139" s="882"/>
      <c r="V139" s="881"/>
      <c r="W139" s="882"/>
      <c r="X139" s="881"/>
      <c r="Y139" s="882"/>
      <c r="Z139" s="881"/>
      <c r="AA139" s="883"/>
      <c r="AB139" s="345"/>
      <c r="AC139" s="345"/>
      <c r="AD139" s="345"/>
      <c r="AE139" s="345"/>
      <c r="AF139" s="345"/>
      <c r="AG139" s="345"/>
      <c r="AH139" s="345"/>
      <c r="AI139" s="302"/>
      <c r="AJ139" s="173">
        <f t="shared" si="50"/>
        <v>0</v>
      </c>
      <c r="AK139" s="865"/>
      <c r="AL139" s="1142"/>
      <c r="AM139" s="31"/>
      <c r="AN139" s="1134"/>
      <c r="AO139" s="13"/>
      <c r="AP139" s="74"/>
      <c r="AQ139" s="75"/>
    </row>
    <row r="140" spans="1:43" ht="26.25" x14ac:dyDescent="0.4">
      <c r="A140" s="1228" t="s">
        <v>1265</v>
      </c>
      <c r="B140" s="979" t="s">
        <v>1259</v>
      </c>
      <c r="C140" s="980" t="s">
        <v>1261</v>
      </c>
      <c r="D140" s="876"/>
      <c r="E140" s="877"/>
      <c r="F140" s="877"/>
      <c r="G140" s="877"/>
      <c r="H140" s="877"/>
      <c r="I140" s="877"/>
      <c r="J140" s="878"/>
      <c r="K140" s="878"/>
      <c r="L140" s="878"/>
      <c r="M140" s="878"/>
      <c r="N140" s="878"/>
      <c r="O140" s="878"/>
      <c r="P140" s="878"/>
      <c r="Q140" s="878"/>
      <c r="R140" s="878"/>
      <c r="S140" s="878"/>
      <c r="T140" s="878"/>
      <c r="U140" s="878"/>
      <c r="V140" s="878"/>
      <c r="W140" s="878"/>
      <c r="X140" s="878"/>
      <c r="Y140" s="878"/>
      <c r="Z140" s="878"/>
      <c r="AA140" s="878"/>
      <c r="AB140" s="345"/>
      <c r="AC140" s="345"/>
      <c r="AD140" s="345"/>
      <c r="AE140" s="345"/>
      <c r="AF140" s="345"/>
      <c r="AG140" s="345"/>
      <c r="AH140" s="345"/>
      <c r="AI140" s="302"/>
      <c r="AJ140" s="173">
        <f t="shared" si="50"/>
        <v>0</v>
      </c>
      <c r="AK140" s="865" t="str">
        <f>CONCATENATE(IF(D128&lt;&gt;(D140+D141)," * "&amp;A140&amp;" "&amp;$D$20&amp;" "&amp;$D$21&amp;" should be equal to "&amp;B128&amp;""&amp;CHAR(10),""),IF(E128&lt;&gt;(E140+E141)," * "&amp;A140&amp;" "&amp;$D$20&amp;" "&amp;$E$21&amp;" should be equal to "&amp;B128&amp;""&amp;CHAR(10),""),IF(F128&lt;&gt;(F140+F141)," * "&amp;A140&amp;" "&amp;$F$20&amp;" "&amp;$F$21&amp;" should be equal to "&amp;B128&amp;""&amp;CHAR(10),""),IF(G128&lt;&gt;(G140+G141)," * "&amp;A140&amp;" "&amp;$F$20&amp;" "&amp;$G$21&amp;" should be equal to "&amp;B128&amp;""&amp;CHAR(10),""),IF(H128&lt;&gt;(H140+H141)," * "&amp;A140&amp;" "&amp;$H$20&amp;" "&amp;$H$21&amp;" should be equal to "&amp;B128&amp;""&amp;CHAR(10),""),IF(I128&lt;&gt;(I140+I141)," * "&amp;A140&amp;" "&amp;$H$20&amp;" "&amp;$I$21&amp;" should be equal to "&amp;B128&amp;""&amp;CHAR(10),""),IF(J128&lt;&gt;(J140+J141)," * "&amp;A140&amp;" "&amp;$J$20&amp;" "&amp;$J$21&amp;" should be equal to "&amp;B128&amp;""&amp;CHAR(10),""),IF(K128&lt;&gt;(K140+K141)," * "&amp;A140&amp;" "&amp;$J$20&amp;" "&amp;$K$21&amp;" should be equal to "&amp;B128&amp;""&amp;CHAR(10),""),IF(L128&lt;&gt;(L140+L141)," * "&amp;A140&amp;" "&amp;$L$20&amp;" "&amp;$L$21&amp;" should be equal to "&amp;B128&amp;""&amp;CHAR(10),""),IF(M128&lt;&gt;(M140+M141)," * "&amp;A140&amp;" "&amp;$L$20&amp;" "&amp;$M$21&amp;" should be equal to "&amp;B128&amp;""&amp;CHAR(10),""),IF(N128&lt;&gt;(N140+N141)," * "&amp;A140&amp;" "&amp;$N$20&amp;" "&amp;$N$21&amp;" should be equal to "&amp;B128&amp;""&amp;CHAR(10),""),IF(O128&lt;&gt;(O140+O141)," * "&amp;A140&amp;" "&amp;$N$20&amp;" "&amp;$O$21&amp;" should be equal to "&amp;B128&amp;""&amp;CHAR(10),""),IF(P128&lt;&gt;(P140+P141)," * "&amp;A140&amp;" "&amp;$P$20&amp;" "&amp;$P$21&amp;" should be equal to "&amp;B128&amp;""&amp;CHAR(10),""),IF(Q128&lt;&gt;(Q140+Q141)," * "&amp;A140&amp;" "&amp;$P$20&amp;" "&amp;$Q$21&amp;" should be equal to "&amp;B128&amp;""&amp;CHAR(10),""),IF(R128&lt;&gt;(R140+R141)," * "&amp;A140&amp;" "&amp;$R$20&amp;" "&amp;$R$21&amp;" should be equal to "&amp;B128&amp;""&amp;CHAR(10),""),IF(S128&lt;&gt;(S140+S141)," * "&amp;A140&amp;" "&amp;$R$20&amp;" "&amp;$S$21&amp;" should be equal to "&amp;B128&amp;""&amp;CHAR(10),""),IF(T128&lt;&gt;(T140+T141)," * "&amp;A140&amp;" "&amp;$T$20&amp;" "&amp;$T$21&amp;" should be equal to "&amp;B128&amp;""&amp;CHAR(10),""),IF(U128&lt;&gt;(U140+U141)," * "&amp;A140&amp;" "&amp;$T$20&amp;" "&amp;$U$21&amp;" should be equal to "&amp;B128&amp;""&amp;CHAR(10),""),IF(V128&lt;&gt;(V140+V141)," * "&amp;A140&amp;" "&amp;$V$20&amp;" "&amp;$V$21&amp;" should be equal to "&amp;B128&amp;""&amp;CHAR(10),""),IF(W128&lt;&gt;(W140+W141)," * "&amp;A140&amp;" "&amp;$V$20&amp;" "&amp;$W$21&amp;" should be equal to "&amp;B128&amp;""&amp;CHAR(10),""),IF(X128&lt;&gt;(X140+X141)," * "&amp;A140&amp;" "&amp;$X$20&amp;" "&amp;$X$21&amp;" should be equal to "&amp;B128&amp;""&amp;CHAR(10),""),IF(Y128&lt;&gt;(Y140+Y141)," * "&amp;A140&amp;" "&amp;$X$20&amp;" "&amp;$Y$21&amp;" should be equal to "&amp;B128&amp;""&amp;CHAR(10),""),IF(Z128&lt;&gt;(Z140+Z141)," * "&amp;A140&amp;" "&amp;$Z$20&amp;" "&amp;$Z$21&amp;" should be equal to "&amp;B128&amp;""&amp;CHAR(10),""),IF(AA128&lt;&gt;(AA140+AA141)," * "&amp;A140&amp;" "&amp;$Z$20&amp;" "&amp;$AA$21&amp;" should be equal to "&amp;B128&amp;""&amp;CHAR(10),""))</f>
        <v/>
      </c>
      <c r="AL140" s="1142"/>
      <c r="AM140" s="31"/>
      <c r="AN140" s="1134"/>
      <c r="AO140" s="13"/>
      <c r="AP140" s="74"/>
      <c r="AQ140" s="75"/>
    </row>
    <row r="141" spans="1:43" ht="27" thickBot="1" x14ac:dyDescent="0.45">
      <c r="A141" s="1229"/>
      <c r="B141" s="981" t="s">
        <v>1260</v>
      </c>
      <c r="C141" s="982" t="s">
        <v>1262</v>
      </c>
      <c r="D141" s="880"/>
      <c r="E141" s="881"/>
      <c r="F141" s="881"/>
      <c r="G141" s="881"/>
      <c r="H141" s="881"/>
      <c r="I141" s="881"/>
      <c r="J141" s="882"/>
      <c r="K141" s="882"/>
      <c r="L141" s="882"/>
      <c r="M141" s="882"/>
      <c r="N141" s="882"/>
      <c r="O141" s="882"/>
      <c r="P141" s="882"/>
      <c r="Q141" s="882"/>
      <c r="R141" s="882"/>
      <c r="S141" s="882"/>
      <c r="T141" s="882"/>
      <c r="U141" s="882"/>
      <c r="V141" s="882"/>
      <c r="W141" s="882"/>
      <c r="X141" s="882"/>
      <c r="Y141" s="882"/>
      <c r="Z141" s="882"/>
      <c r="AA141" s="882"/>
      <c r="AB141" s="345"/>
      <c r="AC141" s="345"/>
      <c r="AD141" s="345"/>
      <c r="AE141" s="345"/>
      <c r="AF141" s="345"/>
      <c r="AG141" s="345"/>
      <c r="AH141" s="345"/>
      <c r="AI141" s="302"/>
      <c r="AJ141" s="173">
        <f t="shared" si="50"/>
        <v>0</v>
      </c>
      <c r="AK141" s="865"/>
      <c r="AL141" s="1142"/>
      <c r="AM141" s="31"/>
      <c r="AN141" s="1134"/>
      <c r="AO141" s="13"/>
      <c r="AP141" s="74"/>
      <c r="AQ141" s="75"/>
    </row>
    <row r="142" spans="1:43" ht="26.25" x14ac:dyDescent="0.4">
      <c r="A142" s="1228" t="s">
        <v>1264</v>
      </c>
      <c r="B142" s="979" t="s">
        <v>1263</v>
      </c>
      <c r="C142" s="980" t="s">
        <v>1267</v>
      </c>
      <c r="D142" s="876"/>
      <c r="E142" s="877"/>
      <c r="F142" s="877"/>
      <c r="G142" s="877"/>
      <c r="H142" s="877"/>
      <c r="I142" s="877"/>
      <c r="J142" s="878"/>
      <c r="K142" s="878"/>
      <c r="L142" s="878"/>
      <c r="M142" s="878"/>
      <c r="N142" s="878"/>
      <c r="O142" s="878"/>
      <c r="P142" s="878"/>
      <c r="Q142" s="878"/>
      <c r="R142" s="878"/>
      <c r="S142" s="878"/>
      <c r="T142" s="878"/>
      <c r="U142" s="878"/>
      <c r="V142" s="878"/>
      <c r="W142" s="878"/>
      <c r="X142" s="878"/>
      <c r="Y142" s="878"/>
      <c r="Z142" s="878"/>
      <c r="AA142" s="878"/>
      <c r="AB142" s="345"/>
      <c r="AC142" s="345"/>
      <c r="AD142" s="345"/>
      <c r="AE142" s="345"/>
      <c r="AF142" s="345"/>
      <c r="AG142" s="345"/>
      <c r="AH142" s="345"/>
      <c r="AI142" s="302"/>
      <c r="AJ142" s="173">
        <f t="shared" si="50"/>
        <v>0</v>
      </c>
      <c r="AK142" s="865" t="str">
        <f>CONCATENATE(IF(D128&lt;&gt;(D142+D143+D144)," * Total "&amp;A142&amp;" "&amp;$D$20&amp;" "&amp;$D$21&amp;" should be equal to "&amp;B128&amp;""&amp;CHAR(10),""),IF(E128&lt;&gt;(E142+E143+E144)," * Total "&amp;A142&amp;" "&amp;$D$20&amp;" "&amp;$E$21&amp;" should be equal to "&amp;B128&amp;""&amp;CHAR(10),""),IF(F128&lt;&gt;(F142+F143+F144)," * Total "&amp;A142&amp;" "&amp;$F$20&amp;" "&amp;$F$21&amp;" should be equal to "&amp;B128&amp;""&amp;CHAR(10),""),IF(G128&lt;&gt;(G142+G143+G144)," * Total "&amp;A142&amp;" "&amp;$F$20&amp;" "&amp;$G$21&amp;" should be equal to "&amp;B128&amp;""&amp;CHAR(10),""),IF(H128&lt;&gt;(H142+H143+H144)," * Total "&amp;A142&amp;" "&amp;$H$20&amp;" "&amp;$H$21&amp;" should be equal to "&amp;B128&amp;""&amp;CHAR(10),""),IF(I128&lt;&gt;(I142+I143+I144)," * Total "&amp;A142&amp;" "&amp;$H$20&amp;" "&amp;$I$21&amp;" should be equal to "&amp;B128&amp;""&amp;CHAR(10),""),IF(J128&lt;&gt;(J142+J143+J144)," * Total "&amp;A142&amp;" "&amp;$J$20&amp;" "&amp;$J$21&amp;" should be equal to "&amp;B128&amp;""&amp;CHAR(10),""),IF(K128&lt;&gt;(K142+K143+K144)," * Total "&amp;A142&amp;" "&amp;$J$20&amp;" "&amp;$K$21&amp;" should be equal to "&amp;B128&amp;""&amp;CHAR(10),""),IF(L128&lt;&gt;(L142+L143+L144)," * Total "&amp;A142&amp;" "&amp;$L$20&amp;" "&amp;$L$21&amp;" should be equal to "&amp;B128&amp;""&amp;CHAR(10),""),IF(M128&lt;&gt;(M142+M143+M144)," * Total "&amp;A142&amp;" "&amp;$L$20&amp;" "&amp;$M$21&amp;" should be equal to "&amp;B128&amp;""&amp;CHAR(10),""),IF(N128&lt;&gt;(N142+N143+N144)," * Total "&amp;A142&amp;" "&amp;$N$20&amp;" "&amp;$N$21&amp;" should be equal to "&amp;B128&amp;""&amp;CHAR(10),""),IF(O128&lt;&gt;(O142+O143+O144)," * Total "&amp;A142&amp;" "&amp;$N$20&amp;" "&amp;$O$21&amp;" should be equal to "&amp;B128&amp;""&amp;CHAR(10),""),IF(P128&lt;&gt;(P142+P143+P144)," * Total "&amp;A142&amp;" "&amp;$P$20&amp;" "&amp;$P$21&amp;" should be equal to "&amp;B128&amp;""&amp;CHAR(10),""),IF(Q128&lt;&gt;(Q142+Q143+Q144)," * Total "&amp;A142&amp;" "&amp;$P$20&amp;" "&amp;$Q$21&amp;" should be equal to "&amp;B128&amp;""&amp;CHAR(10),""),IF(R128&lt;&gt;(R142+R143+R144)," * Total "&amp;A142&amp;" "&amp;$R$20&amp;" "&amp;$R$21&amp;" should be equal to "&amp;B128&amp;""&amp;CHAR(10),""),IF(S128&lt;&gt;(S142+S143+S144)," * Total "&amp;A142&amp;" "&amp;$R$20&amp;" "&amp;$S$21&amp;" should be equal to "&amp;B128&amp;""&amp;CHAR(10),""),IF(T128&lt;&gt;(T142+T143+T144)," * Total "&amp;A142&amp;" "&amp;$T$20&amp;" "&amp;$T$21&amp;" should be equal to "&amp;B128&amp;""&amp;CHAR(10),""),IF(U128&lt;&gt;(U142+U143+U144)," * Total "&amp;A142&amp;" "&amp;$T$20&amp;" "&amp;$U$21&amp;" should be equal to "&amp;B128&amp;""&amp;CHAR(10),""),IF(V128&lt;&gt;(V142+V143+V144)," * Total "&amp;A142&amp;" "&amp;$V$20&amp;" "&amp;$V$21&amp;" should be equal to "&amp;B128&amp;""&amp;CHAR(10),""),IF(W128&lt;&gt;(W142+W143+W144)," * Total "&amp;A142&amp;" "&amp;$V$20&amp;" "&amp;$W$21&amp;" should be equal to "&amp;B128&amp;""&amp;CHAR(10),""),IF(X128&lt;&gt;(X142+X143+X144)," * Total "&amp;A142&amp;" "&amp;$X$20&amp;" "&amp;$X$21&amp;" should be equal to "&amp;B128&amp;""&amp;CHAR(10),""),IF(Y128&lt;&gt;(Y142+Y143+Y144)," * Total "&amp;A142&amp;" "&amp;$X$20&amp;" "&amp;$Y$21&amp;" should be equal to "&amp;B128&amp;""&amp;CHAR(10),""),IF(Z128&lt;&gt;(Z142+Z143+Z144)," * Total "&amp;A142&amp;" "&amp;$Z$20&amp;" "&amp;$Z$21&amp;" should be equal to "&amp;B128&amp;""&amp;CHAR(10),""),IF(AA128&lt;&gt;(AA142+AA143+AA144)," * Total "&amp;A142&amp;" "&amp;$Z$20&amp;" "&amp;$AA$21&amp;" should be equal to "&amp;B128&amp;""&amp;CHAR(10),""))</f>
        <v/>
      </c>
      <c r="AL142" s="1142"/>
      <c r="AM142" s="31"/>
      <c r="AN142" s="1134"/>
      <c r="AO142" s="13"/>
      <c r="AP142" s="74"/>
      <c r="AQ142" s="75"/>
    </row>
    <row r="143" spans="1:43" ht="26.25" x14ac:dyDescent="0.4">
      <c r="A143" s="1230"/>
      <c r="B143" s="983" t="s">
        <v>1266</v>
      </c>
      <c r="C143" s="939" t="s">
        <v>1268</v>
      </c>
      <c r="D143" s="889"/>
      <c r="E143" s="890"/>
      <c r="F143" s="890"/>
      <c r="G143" s="890"/>
      <c r="H143" s="890"/>
      <c r="I143" s="890"/>
      <c r="J143" s="890"/>
      <c r="K143" s="890"/>
      <c r="L143" s="890"/>
      <c r="M143" s="890"/>
      <c r="N143" s="890"/>
      <c r="O143" s="890"/>
      <c r="P143" s="890"/>
      <c r="Q143" s="890"/>
      <c r="R143" s="890"/>
      <c r="S143" s="890"/>
      <c r="T143" s="890"/>
      <c r="U143" s="890"/>
      <c r="V143" s="890"/>
      <c r="W143" s="890"/>
      <c r="X143" s="890"/>
      <c r="Y143" s="890"/>
      <c r="Z143" s="890"/>
      <c r="AA143" s="890"/>
      <c r="AB143" s="345"/>
      <c r="AC143" s="345"/>
      <c r="AD143" s="345"/>
      <c r="AE143" s="345"/>
      <c r="AF143" s="345"/>
      <c r="AG143" s="345"/>
      <c r="AH143" s="345"/>
      <c r="AI143" s="302"/>
      <c r="AJ143" s="173">
        <f t="shared" si="50"/>
        <v>0</v>
      </c>
      <c r="AK143" s="865"/>
      <c r="AL143" s="1142"/>
      <c r="AM143" s="31"/>
      <c r="AN143" s="1134"/>
      <c r="AO143" s="13"/>
      <c r="AP143" s="74"/>
      <c r="AQ143" s="75"/>
    </row>
    <row r="144" spans="1:43" ht="27" thickBot="1" x14ac:dyDescent="0.45">
      <c r="A144" s="1229"/>
      <c r="B144" s="981" t="s">
        <v>21</v>
      </c>
      <c r="C144" s="982" t="s">
        <v>1269</v>
      </c>
      <c r="D144" s="880"/>
      <c r="E144" s="881"/>
      <c r="F144" s="881"/>
      <c r="G144" s="881"/>
      <c r="H144" s="881"/>
      <c r="I144" s="881"/>
      <c r="J144" s="881"/>
      <c r="K144" s="881"/>
      <c r="L144" s="881"/>
      <c r="M144" s="881"/>
      <c r="N144" s="881"/>
      <c r="O144" s="881"/>
      <c r="P144" s="881"/>
      <c r="Q144" s="881"/>
      <c r="R144" s="881"/>
      <c r="S144" s="881"/>
      <c r="T144" s="881"/>
      <c r="U144" s="881"/>
      <c r="V144" s="881"/>
      <c r="W144" s="881"/>
      <c r="X144" s="881"/>
      <c r="Y144" s="881"/>
      <c r="Z144" s="881"/>
      <c r="AA144" s="881"/>
      <c r="AB144" s="345"/>
      <c r="AC144" s="345"/>
      <c r="AD144" s="345"/>
      <c r="AE144" s="345"/>
      <c r="AF144" s="345"/>
      <c r="AG144" s="345"/>
      <c r="AH144" s="345"/>
      <c r="AI144" s="302"/>
      <c r="AJ144" s="173">
        <f t="shared" si="50"/>
        <v>0</v>
      </c>
      <c r="AK144" s="865"/>
      <c r="AL144" s="1142"/>
      <c r="AM144" s="31"/>
      <c r="AN144" s="1134"/>
      <c r="AO144" s="13"/>
      <c r="AP144" s="74"/>
      <c r="AQ144" s="75"/>
    </row>
    <row r="145" spans="1:43" ht="30.75" customHeight="1" thickBot="1" x14ac:dyDescent="0.45">
      <c r="A145" s="984" t="s">
        <v>1277</v>
      </c>
      <c r="B145" s="979" t="s">
        <v>1278</v>
      </c>
      <c r="C145" s="980" t="s">
        <v>1279</v>
      </c>
      <c r="D145" s="876"/>
      <c r="E145" s="877"/>
      <c r="F145" s="877"/>
      <c r="G145" s="877"/>
      <c r="H145" s="877"/>
      <c r="I145" s="877"/>
      <c r="J145" s="878"/>
      <c r="K145" s="878"/>
      <c r="L145" s="878"/>
      <c r="M145" s="878"/>
      <c r="N145" s="878"/>
      <c r="O145" s="878"/>
      <c r="P145" s="878"/>
      <c r="Q145" s="878"/>
      <c r="R145" s="878"/>
      <c r="S145" s="878"/>
      <c r="T145" s="878"/>
      <c r="U145" s="878"/>
      <c r="V145" s="878"/>
      <c r="W145" s="878"/>
      <c r="X145" s="878"/>
      <c r="Y145" s="878"/>
      <c r="Z145" s="878"/>
      <c r="AA145" s="878"/>
      <c r="AB145" s="345"/>
      <c r="AC145" s="345"/>
      <c r="AD145" s="345"/>
      <c r="AE145" s="345"/>
      <c r="AF145" s="345"/>
      <c r="AG145" s="345"/>
      <c r="AH145" s="345"/>
      <c r="AI145" s="302"/>
      <c r="AJ145" s="173">
        <f t="shared" si="50"/>
        <v>0</v>
      </c>
      <c r="AK145" s="872" t="str">
        <f>CONCATENATE(IF(D145&gt;D128," * Newly Initiated on Event-Driven Prep For age "&amp;$D$20&amp;" "&amp;$D$21&amp;" Should not be more than Initiated(New) on Prep"&amp;CHAR(10),""),IF(E145&gt;E128," * Newly Initiated on Event-Driven Prep For age "&amp;$D$20&amp;" "&amp;$E$21&amp;" Should not be more than Initiated(New) on Prep"&amp;CHAR(10),""),IF(F145&gt;F128," * Newly Initiated on Event-Driven Prep For age "&amp;$F$20&amp;" "&amp;$F$21&amp;" Should not be more than Initiated(New) on Prep"&amp;CHAR(10),""),IF(G145&gt;G128," * Newly Initiated on Event-Driven Prep For age "&amp;$F$20&amp;" "&amp;$G$21&amp;" Should not be more than Initiated(New) on Prep"&amp;CHAR(10),""),IF(H145&gt;H128," * Newly Initiated on Event-Driven Prep For age "&amp;$H$20&amp;" "&amp;$H$21&amp;" Should not be more than Initiated(New) on Prep"&amp;CHAR(10),""),IF(I145&gt;I128," * Newly Initiated on Event-Driven Prep For age "&amp;$H$20&amp;" "&amp;$I$21&amp;" Should not be more than Initiated(New) on Prep"&amp;CHAR(10),""),IF(J145&gt;J128," * Newly Initiated on Event-Driven Prep For age "&amp;$J$20&amp;" "&amp;$J$21&amp;" Should not be more than Initiated(New) on Prep"&amp;CHAR(10),""),IF(K145&gt;K128," * Newly Initiated on Event-Driven Prep For age "&amp;$J$20&amp;" "&amp;$K$21&amp;" Should not be more than Initiated(New) on Prep"&amp;CHAR(10),""),IF(L145&gt;L128," * Newly Initiated on Event-Driven Prep For age "&amp;$L$20&amp;" "&amp;$L$21&amp;" Should not be more than Initiated(New) on Prep"&amp;CHAR(10),""),IF(M145&gt;M128," * Newly Initiated on Event-Driven Prep For age "&amp;$L$20&amp;" "&amp;$M$21&amp;" Should not be more than Initiated(New) on Prep"&amp;CHAR(10),""),IF(N145&gt;N128," * Newly Initiated on Event-Driven Prep For age "&amp;$N$20&amp;" "&amp;$N$21&amp;" Should not be more than Initiated(New) on Prep"&amp;CHAR(10),""),IF(O145&gt;O128," * Newly Initiated on Event-Driven Prep For age "&amp;$N$20&amp;" "&amp;$O$21&amp;" Should not be more than Initiated(New) on Prep"&amp;CHAR(10),""),IF(P145&gt;P128," * Newly Initiated on Event-Driven Prep For age "&amp;$P$20&amp;" "&amp;$P$21&amp;" Should not be more than Initiated(New) on Prep"&amp;CHAR(10),""),IF(Q145&gt;Q128," * Newly Initiated on Event-Driven Prep For age "&amp;$P$20&amp;" "&amp;$Q$21&amp;" Should not be more than Initiated(New) on Prep"&amp;CHAR(10),""),IF(R145&gt;R128," * Newly Initiated on Event-Driven Prep For age "&amp;$R$20&amp;" "&amp;$R$21&amp;" Should not be more than Initiated(New) on Prep"&amp;CHAR(10),""),IF(S145&gt;S128," * Newly Initiated on Event-Driven Prep For age "&amp;$R$20&amp;" "&amp;$S$21&amp;" Should not be more than Initiated(New) on Prep"&amp;CHAR(10),""),IF(T145&gt;T128," * Newly Initiated on Event-Driven Prep For age "&amp;$T$20&amp;" "&amp;$T$21&amp;" Should not be more than Initiated(New) on Prep"&amp;CHAR(10),""),IF(U145&gt;U128," * Newly Initiated on Event-Driven Prep For age "&amp;$T$20&amp;" "&amp;$U$21&amp;" Should not be more than Initiated(New) on Prep"&amp;CHAR(10),""),IF(V145&gt;V128," * Newly Initiated on Event-Driven Prep For age "&amp;$V$20&amp;" "&amp;$V$21&amp;" Should not be more than Initiated(New) on Prep"&amp;CHAR(10),""),IF(W145&gt;W128," * Newly Initiated on Event-Driven Prep For age "&amp;$V$20&amp;" "&amp;$W$21&amp;" Should not be more than Initiated(New) on Prep"&amp;CHAR(10),""),IF(X145&gt;X128," * Newly Initiated on Event-Driven Prep For age "&amp;$X$20&amp;" "&amp;$X$21&amp;" Should not be more than Initiated(New) on Prep"&amp;CHAR(10),""),IF(Y145&gt;Y128," * Newly Initiated on Event-Driven Prep For age "&amp;$X$20&amp;" "&amp;$Y$21&amp;" Should not be more than Initiated(New) on Prep"&amp;CHAR(10),""),IF(Z145&gt;Z128," * Newly Initiated on Event-Driven Prep For age "&amp;$Z$20&amp;" "&amp;$Z$21&amp;" Should not be more than Initiated(New) on Prep"&amp;CHAR(10),""),IF(AA145&gt;AA128," * Newly Initiated on Event-Driven Prep For age "&amp;$Z$20&amp;" "&amp;$AA$21&amp;" Should not be more than Initiated(New) on Prep"&amp;CHAR(10),""))</f>
        <v/>
      </c>
      <c r="AL145" s="1142"/>
      <c r="AM145" s="31"/>
      <c r="AN145" s="1134"/>
      <c r="AO145" s="13"/>
      <c r="AP145" s="74"/>
      <c r="AQ145" s="75"/>
    </row>
    <row r="146" spans="1:43" ht="25.9" hidden="1" customHeight="1" thickBot="1" x14ac:dyDescent="0.45">
      <c r="A146" s="949"/>
      <c r="B146" s="514" t="s">
        <v>620</v>
      </c>
      <c r="C146" s="569" t="s">
        <v>175</v>
      </c>
      <c r="D146" s="539"/>
      <c r="E146" s="509"/>
      <c r="F146" s="509"/>
      <c r="G146" s="509"/>
      <c r="H146" s="509"/>
      <c r="I146" s="509"/>
      <c r="J146" s="402"/>
      <c r="K146" s="402"/>
      <c r="L146" s="402"/>
      <c r="M146" s="402"/>
      <c r="N146" s="402"/>
      <c r="O146" s="402"/>
      <c r="P146" s="402"/>
      <c r="Q146" s="402"/>
      <c r="R146" s="402"/>
      <c r="S146" s="402"/>
      <c r="T146" s="402"/>
      <c r="U146" s="402"/>
      <c r="V146" s="402"/>
      <c r="W146" s="402"/>
      <c r="X146" s="402"/>
      <c r="Y146" s="402"/>
      <c r="Z146" s="402"/>
      <c r="AA146" s="540"/>
      <c r="AB146" s="375"/>
      <c r="AC146" s="345"/>
      <c r="AD146" s="345"/>
      <c r="AE146" s="345"/>
      <c r="AF146" s="345"/>
      <c r="AG146" s="345"/>
      <c r="AH146" s="345"/>
      <c r="AI146" s="302"/>
      <c r="AJ146" s="173">
        <f t="shared" ref="AJ146:AJ147" si="51">SUM(J146:AA146)</f>
        <v>0</v>
      </c>
      <c r="AK146" s="30"/>
      <c r="AL146" s="1142"/>
      <c r="AM146" s="31"/>
      <c r="AN146" s="1134"/>
      <c r="AO146" s="13">
        <v>77</v>
      </c>
      <c r="AP146" s="74"/>
      <c r="AQ146" s="75"/>
    </row>
    <row r="147" spans="1:43" ht="105.75" thickBot="1" x14ac:dyDescent="0.45">
      <c r="A147" s="949" t="s">
        <v>961</v>
      </c>
      <c r="B147" s="300" t="s">
        <v>1332</v>
      </c>
      <c r="C147" s="561" t="s">
        <v>962</v>
      </c>
      <c r="D147" s="298"/>
      <c r="E147" s="299"/>
      <c r="F147" s="299"/>
      <c r="G147" s="299"/>
      <c r="H147" s="299"/>
      <c r="I147" s="299"/>
      <c r="J147" s="240"/>
      <c r="K147" s="240"/>
      <c r="L147" s="240"/>
      <c r="M147" s="240"/>
      <c r="N147" s="240"/>
      <c r="O147" s="240"/>
      <c r="P147" s="240"/>
      <c r="Q147" s="240"/>
      <c r="R147" s="240"/>
      <c r="S147" s="240"/>
      <c r="T147" s="240"/>
      <c r="U147" s="240"/>
      <c r="V147" s="240"/>
      <c r="W147" s="240"/>
      <c r="X147" s="240"/>
      <c r="Y147" s="240"/>
      <c r="Z147" s="240"/>
      <c r="AA147" s="240"/>
      <c r="AB147" s="375"/>
      <c r="AC147" s="345"/>
      <c r="AD147" s="345"/>
      <c r="AE147" s="345"/>
      <c r="AF147" s="345"/>
      <c r="AG147" s="345"/>
      <c r="AH147" s="345"/>
      <c r="AI147" s="302"/>
      <c r="AJ147" s="173">
        <f t="shared" si="51"/>
        <v>0</v>
      </c>
      <c r="AK147" s="30"/>
      <c r="AL147" s="1142"/>
      <c r="AM147" s="31"/>
      <c r="AN147" s="1134"/>
      <c r="AO147" s="13"/>
      <c r="AP147" s="74"/>
      <c r="AQ147" s="75"/>
    </row>
    <row r="148" spans="1:43" ht="53.25" hidden="1" customHeight="1" thickBot="1" x14ac:dyDescent="0.45">
      <c r="A148" s="950" t="s">
        <v>792</v>
      </c>
      <c r="B148" s="131" t="s">
        <v>947</v>
      </c>
      <c r="C148" s="558" t="s">
        <v>535</v>
      </c>
      <c r="D148" s="98"/>
      <c r="E148" s="99"/>
      <c r="F148" s="99"/>
      <c r="G148" s="99"/>
      <c r="H148" s="99"/>
      <c r="I148" s="99"/>
      <c r="J148" s="132">
        <f>SUM(J149:J154)</f>
        <v>0</v>
      </c>
      <c r="K148" s="132">
        <f t="shared" ref="K148:AA148" si="52">SUM(K149:K154)</f>
        <v>0</v>
      </c>
      <c r="L148" s="132">
        <f t="shared" si="52"/>
        <v>0</v>
      </c>
      <c r="M148" s="132">
        <f t="shared" si="52"/>
        <v>0</v>
      </c>
      <c r="N148" s="132">
        <f t="shared" si="52"/>
        <v>0</v>
      </c>
      <c r="O148" s="132">
        <f t="shared" si="52"/>
        <v>0</v>
      </c>
      <c r="P148" s="132">
        <f t="shared" si="52"/>
        <v>0</v>
      </c>
      <c r="Q148" s="132">
        <f t="shared" si="52"/>
        <v>0</v>
      </c>
      <c r="R148" s="132">
        <f t="shared" si="52"/>
        <v>0</v>
      </c>
      <c r="S148" s="132">
        <f t="shared" si="52"/>
        <v>0</v>
      </c>
      <c r="T148" s="132">
        <f t="shared" si="52"/>
        <v>0</v>
      </c>
      <c r="U148" s="132">
        <f t="shared" si="52"/>
        <v>0</v>
      </c>
      <c r="V148" s="132">
        <f t="shared" si="52"/>
        <v>0</v>
      </c>
      <c r="W148" s="132">
        <f t="shared" si="52"/>
        <v>0</v>
      </c>
      <c r="X148" s="132">
        <f t="shared" si="52"/>
        <v>0</v>
      </c>
      <c r="Y148" s="132">
        <f t="shared" si="52"/>
        <v>0</v>
      </c>
      <c r="Z148" s="132">
        <f t="shared" si="52"/>
        <v>0</v>
      </c>
      <c r="AA148" s="321">
        <f t="shared" si="52"/>
        <v>0</v>
      </c>
      <c r="AB148" s="375"/>
      <c r="AC148" s="345"/>
      <c r="AD148" s="345"/>
      <c r="AE148" s="345"/>
      <c r="AF148" s="345"/>
      <c r="AG148" s="345"/>
      <c r="AH148" s="345"/>
      <c r="AI148" s="302"/>
      <c r="AJ148" s="379">
        <f>SUM(J148:AA148)</f>
        <v>0</v>
      </c>
      <c r="AK148" s="30"/>
      <c r="AL148" s="1142"/>
      <c r="AM148" s="31"/>
      <c r="AN148" s="1134"/>
      <c r="AO148" s="13">
        <v>78</v>
      </c>
      <c r="AP148" s="74"/>
      <c r="AQ148" s="75"/>
    </row>
    <row r="149" spans="1:43" ht="26.25" hidden="1" customHeight="1" x14ac:dyDescent="0.4">
      <c r="A149" s="1191" t="s">
        <v>546</v>
      </c>
      <c r="B149" s="76" t="s">
        <v>369</v>
      </c>
      <c r="C149" s="559" t="s">
        <v>556</v>
      </c>
      <c r="D149" s="77"/>
      <c r="E149" s="78"/>
      <c r="F149" s="78"/>
      <c r="G149" s="78"/>
      <c r="H149" s="78"/>
      <c r="I149" s="78"/>
      <c r="J149" s="79"/>
      <c r="K149" s="79"/>
      <c r="L149" s="79"/>
      <c r="M149" s="79"/>
      <c r="N149" s="79"/>
      <c r="O149" s="79"/>
      <c r="P149" s="79"/>
      <c r="Q149" s="79"/>
      <c r="R149" s="79"/>
      <c r="S149" s="79"/>
      <c r="T149" s="79"/>
      <c r="U149" s="79"/>
      <c r="V149" s="79"/>
      <c r="W149" s="79"/>
      <c r="X149" s="79"/>
      <c r="Y149" s="79"/>
      <c r="Z149" s="79"/>
      <c r="AA149" s="307"/>
      <c r="AB149" s="375"/>
      <c r="AC149" s="345"/>
      <c r="AD149" s="345"/>
      <c r="AE149" s="345"/>
      <c r="AF149" s="345"/>
      <c r="AG149" s="345"/>
      <c r="AH149" s="345"/>
      <c r="AI149" s="302"/>
      <c r="AJ149" s="173">
        <f>SUM(J149:AA149)</f>
        <v>0</v>
      </c>
      <c r="AK149" s="116"/>
      <c r="AL149" s="1142"/>
      <c r="AM149" s="31"/>
      <c r="AN149" s="1134"/>
      <c r="AO149" s="13">
        <v>79</v>
      </c>
      <c r="AP149" s="74"/>
      <c r="AQ149" s="75"/>
    </row>
    <row r="150" spans="1:43" ht="26.25" hidden="1" customHeight="1" x14ac:dyDescent="0.4">
      <c r="A150" s="1192"/>
      <c r="B150" s="76" t="s">
        <v>364</v>
      </c>
      <c r="C150" s="559" t="s">
        <v>557</v>
      </c>
      <c r="D150" s="77"/>
      <c r="E150" s="78"/>
      <c r="F150" s="78"/>
      <c r="G150" s="78"/>
      <c r="H150" s="78"/>
      <c r="I150" s="78"/>
      <c r="J150" s="79"/>
      <c r="K150" s="79"/>
      <c r="L150" s="79"/>
      <c r="M150" s="79"/>
      <c r="N150" s="79"/>
      <c r="O150" s="79"/>
      <c r="P150" s="79"/>
      <c r="Q150" s="79"/>
      <c r="R150" s="79"/>
      <c r="S150" s="79"/>
      <c r="T150" s="79"/>
      <c r="U150" s="79"/>
      <c r="V150" s="79"/>
      <c r="W150" s="79"/>
      <c r="X150" s="79"/>
      <c r="Y150" s="79"/>
      <c r="Z150" s="79"/>
      <c r="AA150" s="307"/>
      <c r="AB150" s="375"/>
      <c r="AC150" s="345"/>
      <c r="AD150" s="345"/>
      <c r="AE150" s="345"/>
      <c r="AF150" s="345"/>
      <c r="AG150" s="345"/>
      <c r="AH150" s="345"/>
      <c r="AI150" s="302"/>
      <c r="AJ150" s="173">
        <f>SUM(J150:AA150)</f>
        <v>0</v>
      </c>
      <c r="AK150" s="116"/>
      <c r="AL150" s="1142"/>
      <c r="AM150" s="31"/>
      <c r="AN150" s="1134"/>
      <c r="AO150" s="13">
        <v>80</v>
      </c>
      <c r="AP150" s="74"/>
      <c r="AQ150" s="75"/>
    </row>
    <row r="151" spans="1:43" ht="26.25" hidden="1" customHeight="1" x14ac:dyDescent="0.4">
      <c r="A151" s="1192"/>
      <c r="B151" s="76" t="s">
        <v>365</v>
      </c>
      <c r="C151" s="559" t="s">
        <v>558</v>
      </c>
      <c r="D151" s="77"/>
      <c r="E151" s="78"/>
      <c r="F151" s="78"/>
      <c r="G151" s="78"/>
      <c r="H151" s="78"/>
      <c r="I151" s="78"/>
      <c r="J151" s="79"/>
      <c r="K151" s="79"/>
      <c r="L151" s="79"/>
      <c r="M151" s="79"/>
      <c r="N151" s="79"/>
      <c r="O151" s="79"/>
      <c r="P151" s="79"/>
      <c r="Q151" s="79"/>
      <c r="R151" s="79"/>
      <c r="S151" s="79"/>
      <c r="T151" s="79"/>
      <c r="U151" s="79"/>
      <c r="V151" s="79"/>
      <c r="W151" s="79"/>
      <c r="X151" s="79"/>
      <c r="Y151" s="79"/>
      <c r="Z151" s="79"/>
      <c r="AA151" s="307"/>
      <c r="AB151" s="375"/>
      <c r="AC151" s="345"/>
      <c r="AD151" s="345"/>
      <c r="AE151" s="345"/>
      <c r="AF151" s="345"/>
      <c r="AG151" s="345"/>
      <c r="AH151" s="345"/>
      <c r="AI151" s="302"/>
      <c r="AJ151" s="173">
        <f t="shared" ref="AJ151:AJ154" si="53">SUM(J151:AA151)</f>
        <v>0</v>
      </c>
      <c r="AK151" s="116"/>
      <c r="AL151" s="1142"/>
      <c r="AM151" s="31"/>
      <c r="AN151" s="1134"/>
      <c r="AO151" s="13">
        <v>81</v>
      </c>
      <c r="AP151" s="74"/>
      <c r="AQ151" s="75"/>
    </row>
    <row r="152" spans="1:43" ht="26.25" hidden="1" customHeight="1" x14ac:dyDescent="0.4">
      <c r="A152" s="1192"/>
      <c r="B152" s="76" t="s">
        <v>366</v>
      </c>
      <c r="C152" s="559" t="s">
        <v>559</v>
      </c>
      <c r="D152" s="77"/>
      <c r="E152" s="78"/>
      <c r="F152" s="78"/>
      <c r="G152" s="78"/>
      <c r="H152" s="78"/>
      <c r="I152" s="78"/>
      <c r="J152" s="79"/>
      <c r="K152" s="79"/>
      <c r="L152" s="79"/>
      <c r="M152" s="79"/>
      <c r="N152" s="79"/>
      <c r="O152" s="79"/>
      <c r="P152" s="79"/>
      <c r="Q152" s="79"/>
      <c r="R152" s="79"/>
      <c r="S152" s="79"/>
      <c r="T152" s="79"/>
      <c r="U152" s="79"/>
      <c r="V152" s="79"/>
      <c r="W152" s="79"/>
      <c r="X152" s="79"/>
      <c r="Y152" s="79"/>
      <c r="Z152" s="79"/>
      <c r="AA152" s="307"/>
      <c r="AB152" s="375"/>
      <c r="AC152" s="345"/>
      <c r="AD152" s="345"/>
      <c r="AE152" s="345"/>
      <c r="AF152" s="345"/>
      <c r="AG152" s="345"/>
      <c r="AH152" s="345"/>
      <c r="AI152" s="302"/>
      <c r="AJ152" s="173">
        <f t="shared" si="53"/>
        <v>0</v>
      </c>
      <c r="AK152" s="116"/>
      <c r="AL152" s="1142"/>
      <c r="AM152" s="31"/>
      <c r="AN152" s="1134"/>
      <c r="AO152" s="13">
        <v>82</v>
      </c>
      <c r="AP152" s="74"/>
      <c r="AQ152" s="75"/>
    </row>
    <row r="153" spans="1:43" ht="26.25" hidden="1" customHeight="1" x14ac:dyDescent="0.4">
      <c r="A153" s="1192"/>
      <c r="B153" s="76" t="s">
        <v>367</v>
      </c>
      <c r="C153" s="559" t="s">
        <v>560</v>
      </c>
      <c r="D153" s="77"/>
      <c r="E153" s="78"/>
      <c r="F153" s="78"/>
      <c r="G153" s="78"/>
      <c r="H153" s="78"/>
      <c r="I153" s="78"/>
      <c r="J153" s="79"/>
      <c r="K153" s="79"/>
      <c r="L153" s="79"/>
      <c r="M153" s="79"/>
      <c r="N153" s="79"/>
      <c r="O153" s="79"/>
      <c r="P153" s="79"/>
      <c r="Q153" s="79"/>
      <c r="R153" s="79"/>
      <c r="S153" s="79"/>
      <c r="T153" s="79"/>
      <c r="U153" s="79"/>
      <c r="V153" s="79"/>
      <c r="W153" s="79"/>
      <c r="X153" s="79"/>
      <c r="Y153" s="79"/>
      <c r="Z153" s="79"/>
      <c r="AA153" s="307"/>
      <c r="AB153" s="375"/>
      <c r="AC153" s="345"/>
      <c r="AD153" s="345"/>
      <c r="AE153" s="345"/>
      <c r="AF153" s="345"/>
      <c r="AG153" s="345"/>
      <c r="AH153" s="345"/>
      <c r="AI153" s="302"/>
      <c r="AJ153" s="173">
        <f t="shared" si="53"/>
        <v>0</v>
      </c>
      <c r="AK153" s="116"/>
      <c r="AL153" s="1142"/>
      <c r="AM153" s="31"/>
      <c r="AN153" s="1134"/>
      <c r="AO153" s="13">
        <v>83</v>
      </c>
      <c r="AP153" s="74"/>
      <c r="AQ153" s="75"/>
    </row>
    <row r="154" spans="1:43" ht="27" hidden="1" customHeight="1" thickBot="1" x14ac:dyDescent="0.45">
      <c r="A154" s="1193"/>
      <c r="B154" s="87" t="s">
        <v>368</v>
      </c>
      <c r="C154" s="560" t="s">
        <v>561</v>
      </c>
      <c r="D154" s="133"/>
      <c r="E154" s="120"/>
      <c r="F154" s="120"/>
      <c r="G154" s="120"/>
      <c r="H154" s="120"/>
      <c r="I154" s="120"/>
      <c r="J154" s="121"/>
      <c r="K154" s="121"/>
      <c r="L154" s="121"/>
      <c r="M154" s="121"/>
      <c r="N154" s="121"/>
      <c r="O154" s="121"/>
      <c r="P154" s="121"/>
      <c r="Q154" s="121"/>
      <c r="R154" s="121"/>
      <c r="S154" s="121"/>
      <c r="T154" s="121"/>
      <c r="U154" s="121"/>
      <c r="V154" s="121"/>
      <c r="W154" s="121"/>
      <c r="X154" s="121"/>
      <c r="Y154" s="121"/>
      <c r="Z154" s="121"/>
      <c r="AA154" s="318"/>
      <c r="AB154" s="375"/>
      <c r="AC154" s="345"/>
      <c r="AD154" s="345"/>
      <c r="AE154" s="345"/>
      <c r="AF154" s="345"/>
      <c r="AG154" s="345"/>
      <c r="AH154" s="345"/>
      <c r="AI154" s="302"/>
      <c r="AJ154" s="380">
        <f t="shared" si="53"/>
        <v>0</v>
      </c>
      <c r="AK154" s="116"/>
      <c r="AL154" s="1142"/>
      <c r="AM154" s="31"/>
      <c r="AN154" s="1134"/>
      <c r="AO154" s="13">
        <v>84</v>
      </c>
      <c r="AP154" s="74"/>
      <c r="AQ154" s="75"/>
    </row>
    <row r="155" spans="1:43" ht="26.25" x14ac:dyDescent="0.4">
      <c r="A155" s="1136" t="s">
        <v>1129</v>
      </c>
      <c r="B155" s="91" t="s">
        <v>1130</v>
      </c>
      <c r="C155" s="570" t="s">
        <v>176</v>
      </c>
      <c r="D155" s="134"/>
      <c r="E155" s="99"/>
      <c r="F155" s="99"/>
      <c r="G155" s="99"/>
      <c r="H155" s="99"/>
      <c r="I155" s="99"/>
      <c r="J155" s="94"/>
      <c r="K155" s="94"/>
      <c r="L155" s="94"/>
      <c r="M155" s="94"/>
      <c r="N155" s="94"/>
      <c r="O155" s="94"/>
      <c r="P155" s="94"/>
      <c r="Q155" s="94"/>
      <c r="R155" s="94"/>
      <c r="S155" s="94"/>
      <c r="T155" s="94"/>
      <c r="U155" s="94"/>
      <c r="V155" s="94"/>
      <c r="W155" s="94"/>
      <c r="X155" s="94"/>
      <c r="Y155" s="94"/>
      <c r="Z155" s="94"/>
      <c r="AA155" s="505"/>
      <c r="AB155" s="345"/>
      <c r="AC155" s="345"/>
      <c r="AD155" s="345"/>
      <c r="AE155" s="345"/>
      <c r="AF155" s="345"/>
      <c r="AG155" s="345"/>
      <c r="AH155" s="345"/>
      <c r="AI155" s="345"/>
      <c r="AJ155" s="395">
        <f t="shared" si="46"/>
        <v>0</v>
      </c>
      <c r="AK155" s="1188" t="str">
        <f>CONCATENATE(IF(D156&gt;D155," * F02-07 for Age "&amp;D20&amp;" "&amp;D21&amp;" is more than F02-06"&amp;CHAR(10),""),IF(E156&gt;E155," * F02-07 for Age "&amp;D20&amp;" "&amp;E21&amp;" is more than F02-06"&amp;CHAR(10),""),IF(F156&gt;F155," * F02-07 for Age "&amp;F20&amp;" "&amp;F21&amp;" is more than F02-06"&amp;CHAR(10),""),IF(G156&gt;G155," * F02-07 for Age "&amp;F20&amp;" "&amp;G21&amp;" is more than F02-06"&amp;CHAR(10),""),IF(H156&gt;H155," * F02-07 for Age "&amp;H20&amp;" "&amp;H21&amp;" is more than F02-06"&amp;CHAR(10),""),IF(I156&gt;I155," * F02-07 for Age "&amp;H20&amp;" "&amp;I21&amp;" is more than F02-06"&amp;CHAR(10),""),IF(J156&gt;J155," * F02-07 for Age "&amp;J20&amp;" "&amp;J21&amp;" is more than F02-06"&amp;CHAR(10),""),IF(K156&gt;K155," * F02-07 for Age "&amp;J20&amp;" "&amp;K21&amp;" is more than F02-06"&amp;CHAR(10),""),IF(L156&gt;L155," * F02-07 for Age "&amp;L20&amp;" "&amp;L21&amp;" is more than F02-06"&amp;CHAR(10),""),IF(M156&gt;M155," * F02-07 for Age "&amp;L20&amp;" "&amp;M21&amp;" is more than F02-06"&amp;CHAR(10),""),IF(N156&gt;N155," * F02-07 for Age "&amp;N20&amp;" "&amp;N21&amp;" is more than F02-06"&amp;CHAR(10),""),IF(O156&gt;O155," * F02-07 for Age "&amp;N20&amp;" "&amp;O21&amp;" is more than F02-06"&amp;CHAR(10),""),IF(P156&gt;P155," * F02-07 for Age "&amp;P20&amp;" "&amp;P21&amp;" is more than F02-06"&amp;CHAR(10),""),IF(Q156&gt;Q155," * F02-07 for Age "&amp;P20&amp;" "&amp;Q21&amp;" is more than F02-06"&amp;CHAR(10),""),IF(R156&gt;R155," * F02-07 for Age "&amp;R20&amp;" "&amp;R21&amp;" is more than F02-06"&amp;CHAR(10),""),IF(S156&gt;S155," * F02-07 for Age "&amp;R20&amp;" "&amp;S21&amp;" is more than F02-06"&amp;CHAR(10),""),IF(T156&gt;T155," * F02-07 for Age "&amp;T20&amp;" "&amp;T21&amp;" is more than F02-06"&amp;CHAR(10),""),IF(U156&gt;U155," * F02-07 for Age "&amp;T20&amp;" "&amp;U21&amp;" is more than F02-06"&amp;CHAR(10),""),IF(V156&gt;V155," * F02-07 for Age "&amp;V20&amp;" "&amp;V21&amp;" is more than F02-06"&amp;CHAR(10),""),IF(W156&gt;W155," * F02-07 for Age "&amp;V20&amp;" "&amp;W21&amp;" is more than F02-06"&amp;CHAR(10),""),IF(X156&gt;X155," * F02-07 for Age "&amp;X20&amp;" "&amp;X21&amp;" is more than F02-06"&amp;CHAR(10),""),IF(Y156&gt;Y155," * F02-07 for Age "&amp;X20&amp;" "&amp;Y21&amp;" is more than F02-06"&amp;CHAR(10),""),IF(Z156&gt;Z155," * F02-07 for Age "&amp;Z20&amp;" "&amp;Z21&amp;" is more than F02-06"&amp;CHAR(10),""),IF(AA156&gt;AA155," * F02-07 for Age "&amp;Z20&amp;" "&amp;AA21&amp;" is more than F02-06"&amp;CHAR(10),""),IF(AJ156&gt;AJ155," * Total F02-07 is more than Total F02-06"&amp;CHAR(10),""))</f>
        <v/>
      </c>
      <c r="AL155" s="1142"/>
      <c r="AM155" s="31"/>
      <c r="AN155" s="1134"/>
      <c r="AO155" s="13">
        <v>85</v>
      </c>
      <c r="AP155" s="74"/>
      <c r="AQ155" s="75"/>
    </row>
    <row r="156" spans="1:43" ht="27" thickBot="1" x14ac:dyDescent="0.45">
      <c r="A156" s="1224"/>
      <c r="B156" s="76" t="s">
        <v>1131</v>
      </c>
      <c r="C156" s="571" t="s">
        <v>177</v>
      </c>
      <c r="D156" s="135"/>
      <c r="E156" s="78"/>
      <c r="F156" s="78"/>
      <c r="G156" s="78"/>
      <c r="H156" s="78"/>
      <c r="I156" s="78"/>
      <c r="J156" s="79"/>
      <c r="K156" s="79"/>
      <c r="L156" s="79"/>
      <c r="M156" s="79"/>
      <c r="N156" s="79"/>
      <c r="O156" s="79"/>
      <c r="P156" s="79"/>
      <c r="Q156" s="79"/>
      <c r="R156" s="79"/>
      <c r="S156" s="79"/>
      <c r="T156" s="79"/>
      <c r="U156" s="79"/>
      <c r="V156" s="79"/>
      <c r="W156" s="79"/>
      <c r="X156" s="79"/>
      <c r="Y156" s="79"/>
      <c r="Z156" s="79"/>
      <c r="AA156" s="506"/>
      <c r="AB156" s="345"/>
      <c r="AC156" s="345"/>
      <c r="AD156" s="345"/>
      <c r="AE156" s="345"/>
      <c r="AF156" s="345"/>
      <c r="AG156" s="345"/>
      <c r="AH156" s="345"/>
      <c r="AI156" s="345"/>
      <c r="AJ156" s="597">
        <f t="shared" si="46"/>
        <v>0</v>
      </c>
      <c r="AK156" s="1188"/>
      <c r="AL156" s="1142"/>
      <c r="AM156" s="31"/>
      <c r="AN156" s="1134"/>
      <c r="AO156" s="13">
        <v>86</v>
      </c>
      <c r="AP156" s="74"/>
      <c r="AQ156" s="75"/>
    </row>
    <row r="157" spans="1:43" ht="27" hidden="1" customHeight="1" thickBot="1" x14ac:dyDescent="0.45">
      <c r="A157" s="1225"/>
      <c r="B157" s="118" t="s">
        <v>621</v>
      </c>
      <c r="C157" s="572" t="s">
        <v>327</v>
      </c>
      <c r="D157" s="492"/>
      <c r="E157" s="120"/>
      <c r="F157" s="120"/>
      <c r="G157" s="120"/>
      <c r="H157" s="120"/>
      <c r="I157" s="120"/>
      <c r="J157" s="121"/>
      <c r="K157" s="121"/>
      <c r="L157" s="121"/>
      <c r="M157" s="121"/>
      <c r="N157" s="121"/>
      <c r="O157" s="121"/>
      <c r="P157" s="121"/>
      <c r="Q157" s="121"/>
      <c r="R157" s="121"/>
      <c r="S157" s="121"/>
      <c r="T157" s="121"/>
      <c r="U157" s="121"/>
      <c r="V157" s="121"/>
      <c r="W157" s="121"/>
      <c r="X157" s="121"/>
      <c r="Y157" s="121"/>
      <c r="Z157" s="121"/>
      <c r="AA157" s="507"/>
      <c r="AB157" s="345"/>
      <c r="AC157" s="345"/>
      <c r="AD157" s="345"/>
      <c r="AE157" s="345"/>
      <c r="AF157" s="345"/>
      <c r="AG157" s="345"/>
      <c r="AH157" s="345"/>
      <c r="AI157" s="345"/>
      <c r="AJ157" s="597">
        <f t="shared" si="46"/>
        <v>0</v>
      </c>
      <c r="AK157" s="116"/>
      <c r="AL157" s="1142"/>
      <c r="AM157" s="31"/>
      <c r="AN157" s="1134"/>
      <c r="AO157" s="13">
        <v>87</v>
      </c>
      <c r="AP157" s="74"/>
      <c r="AQ157" s="75"/>
    </row>
    <row r="158" spans="1:43" ht="26.25" x14ac:dyDescent="0.4">
      <c r="A158" s="1232" t="s">
        <v>1156</v>
      </c>
      <c r="B158" s="511" t="s">
        <v>1154</v>
      </c>
      <c r="C158" s="573" t="s">
        <v>1157</v>
      </c>
      <c r="D158" s="134"/>
      <c r="E158" s="99"/>
      <c r="F158" s="99"/>
      <c r="G158" s="99"/>
      <c r="H158" s="99"/>
      <c r="I158" s="99"/>
      <c r="J158" s="99"/>
      <c r="K158" s="512"/>
      <c r="L158" s="99"/>
      <c r="M158" s="512"/>
      <c r="N158" s="99"/>
      <c r="O158" s="512"/>
      <c r="P158" s="99"/>
      <c r="Q158" s="512"/>
      <c r="R158" s="99"/>
      <c r="S158" s="512"/>
      <c r="T158" s="99"/>
      <c r="U158" s="512"/>
      <c r="V158" s="99"/>
      <c r="W158" s="512"/>
      <c r="X158" s="99"/>
      <c r="Y158" s="512"/>
      <c r="Z158" s="99"/>
      <c r="AA158" s="513"/>
      <c r="AB158" s="345"/>
      <c r="AC158" s="345"/>
      <c r="AD158" s="345"/>
      <c r="AE158" s="345"/>
      <c r="AF158" s="345"/>
      <c r="AG158" s="345"/>
      <c r="AH158" s="345"/>
      <c r="AI158" s="345"/>
      <c r="AJ158" s="597">
        <f t="shared" si="46"/>
        <v>0</v>
      </c>
      <c r="AK158" s="485"/>
      <c r="AL158" s="1142"/>
      <c r="AM158" s="31"/>
      <c r="AN158" s="1134"/>
      <c r="AO158" s="13"/>
      <c r="AP158" s="74"/>
      <c r="AQ158" s="75"/>
    </row>
    <row r="159" spans="1:43" ht="27" thickBot="1" x14ac:dyDescent="0.45">
      <c r="A159" s="1158"/>
      <c r="B159" s="514" t="s">
        <v>1155</v>
      </c>
      <c r="C159" s="574" t="s">
        <v>1158</v>
      </c>
      <c r="D159" s="508"/>
      <c r="E159" s="509"/>
      <c r="F159" s="509"/>
      <c r="G159" s="509"/>
      <c r="H159" s="509"/>
      <c r="I159" s="509"/>
      <c r="J159" s="102"/>
      <c r="K159" s="402"/>
      <c r="L159" s="102"/>
      <c r="M159" s="402"/>
      <c r="N159" s="102"/>
      <c r="O159" s="402"/>
      <c r="P159" s="102"/>
      <c r="Q159" s="402"/>
      <c r="R159" s="102"/>
      <c r="S159" s="402"/>
      <c r="T159" s="102"/>
      <c r="U159" s="402"/>
      <c r="V159" s="102"/>
      <c r="W159" s="402"/>
      <c r="X159" s="102"/>
      <c r="Y159" s="402"/>
      <c r="Z159" s="102"/>
      <c r="AA159" s="510"/>
      <c r="AB159" s="345"/>
      <c r="AC159" s="345"/>
      <c r="AD159" s="345"/>
      <c r="AE159" s="345"/>
      <c r="AF159" s="345"/>
      <c r="AG159" s="345"/>
      <c r="AH159" s="345"/>
      <c r="AI159" s="345"/>
      <c r="AJ159" s="597">
        <f t="shared" si="46"/>
        <v>0</v>
      </c>
      <c r="AK159" s="485"/>
      <c r="AL159" s="1142"/>
      <c r="AM159" s="31"/>
      <c r="AN159" s="1134"/>
      <c r="AO159" s="13"/>
      <c r="AP159" s="74"/>
      <c r="AQ159" s="75"/>
    </row>
    <row r="160" spans="1:43" ht="27" hidden="1" customHeight="1" thickBot="1" x14ac:dyDescent="0.45">
      <c r="A160" s="1136" t="s">
        <v>21</v>
      </c>
      <c r="B160" s="91" t="s">
        <v>622</v>
      </c>
      <c r="C160" s="558" t="s">
        <v>328</v>
      </c>
      <c r="D160" s="98"/>
      <c r="E160" s="99"/>
      <c r="F160" s="99"/>
      <c r="G160" s="99"/>
      <c r="H160" s="99"/>
      <c r="I160" s="99"/>
      <c r="J160" s="94"/>
      <c r="K160" s="94"/>
      <c r="L160" s="94"/>
      <c r="M160" s="94"/>
      <c r="N160" s="94"/>
      <c r="O160" s="94"/>
      <c r="P160" s="94"/>
      <c r="Q160" s="94"/>
      <c r="R160" s="94"/>
      <c r="S160" s="94"/>
      <c r="T160" s="94"/>
      <c r="U160" s="94"/>
      <c r="V160" s="94"/>
      <c r="W160" s="94"/>
      <c r="X160" s="94"/>
      <c r="Y160" s="94"/>
      <c r="Z160" s="94"/>
      <c r="AA160" s="310"/>
      <c r="AB160" s="375"/>
      <c r="AC160" s="345"/>
      <c r="AD160" s="345"/>
      <c r="AE160" s="345"/>
      <c r="AF160" s="345"/>
      <c r="AG160" s="345"/>
      <c r="AH160" s="345"/>
      <c r="AI160" s="345"/>
      <c r="AJ160" s="597">
        <f t="shared" si="46"/>
        <v>0</v>
      </c>
      <c r="AK160" s="116"/>
      <c r="AL160" s="1142"/>
      <c r="AM160" s="31"/>
      <c r="AN160" s="1134"/>
      <c r="AO160" s="13">
        <v>88</v>
      </c>
      <c r="AP160" s="74"/>
      <c r="AQ160" s="75"/>
    </row>
    <row r="161" spans="1:43" ht="27" hidden="1" customHeight="1" thickBot="1" x14ac:dyDescent="0.45">
      <c r="A161" s="1224"/>
      <c r="B161" s="76" t="s">
        <v>948</v>
      </c>
      <c r="C161" s="559" t="s">
        <v>329</v>
      </c>
      <c r="D161" s="77"/>
      <c r="E161" s="78"/>
      <c r="F161" s="78"/>
      <c r="G161" s="78"/>
      <c r="H161" s="78"/>
      <c r="I161" s="78"/>
      <c r="J161" s="79"/>
      <c r="K161" s="79"/>
      <c r="L161" s="79"/>
      <c r="M161" s="79"/>
      <c r="N161" s="79"/>
      <c r="O161" s="79"/>
      <c r="P161" s="79"/>
      <c r="Q161" s="79"/>
      <c r="R161" s="79"/>
      <c r="S161" s="79"/>
      <c r="T161" s="79"/>
      <c r="U161" s="79"/>
      <c r="V161" s="79"/>
      <c r="W161" s="79"/>
      <c r="X161" s="79"/>
      <c r="Y161" s="79"/>
      <c r="Z161" s="79"/>
      <c r="AA161" s="307"/>
      <c r="AB161" s="375"/>
      <c r="AC161" s="345"/>
      <c r="AD161" s="345"/>
      <c r="AE161" s="345"/>
      <c r="AF161" s="345"/>
      <c r="AG161" s="345"/>
      <c r="AH161" s="345"/>
      <c r="AI161" s="345"/>
      <c r="AJ161" s="597">
        <f t="shared" si="46"/>
        <v>0</v>
      </c>
      <c r="AK161" s="116"/>
      <c r="AL161" s="1142"/>
      <c r="AM161" s="31"/>
      <c r="AN161" s="1134"/>
      <c r="AO161" s="13">
        <v>89</v>
      </c>
      <c r="AP161" s="74"/>
      <c r="AQ161" s="75"/>
    </row>
    <row r="162" spans="1:43" ht="27" hidden="1" customHeight="1" thickBot="1" x14ac:dyDescent="0.45">
      <c r="A162" s="1224"/>
      <c r="B162" s="76" t="s">
        <v>623</v>
      </c>
      <c r="C162" s="559" t="s">
        <v>178</v>
      </c>
      <c r="D162" s="77"/>
      <c r="E162" s="78"/>
      <c r="F162" s="78"/>
      <c r="G162" s="78"/>
      <c r="H162" s="78"/>
      <c r="I162" s="78"/>
      <c r="J162" s="79"/>
      <c r="K162" s="79"/>
      <c r="L162" s="79"/>
      <c r="M162" s="79"/>
      <c r="N162" s="79"/>
      <c r="O162" s="79"/>
      <c r="P162" s="79"/>
      <c r="Q162" s="79"/>
      <c r="R162" s="79"/>
      <c r="S162" s="79"/>
      <c r="T162" s="79"/>
      <c r="U162" s="79"/>
      <c r="V162" s="79"/>
      <c r="W162" s="79"/>
      <c r="X162" s="79"/>
      <c r="Y162" s="79"/>
      <c r="Z162" s="79"/>
      <c r="AA162" s="307"/>
      <c r="AB162" s="375"/>
      <c r="AC162" s="345"/>
      <c r="AD162" s="345"/>
      <c r="AE162" s="345"/>
      <c r="AF162" s="345"/>
      <c r="AG162" s="345"/>
      <c r="AH162" s="345"/>
      <c r="AI162" s="345"/>
      <c r="AJ162" s="597">
        <f t="shared" si="46"/>
        <v>0</v>
      </c>
      <c r="AK162" s="116"/>
      <c r="AL162" s="1142"/>
      <c r="AM162" s="31"/>
      <c r="AN162" s="1134"/>
      <c r="AO162" s="13">
        <v>90</v>
      </c>
      <c r="AP162" s="74"/>
      <c r="AQ162" s="75"/>
    </row>
    <row r="163" spans="1:43" ht="27" hidden="1" customHeight="1" thickBot="1" x14ac:dyDescent="0.45">
      <c r="A163" s="1224"/>
      <c r="B163" s="76" t="s">
        <v>624</v>
      </c>
      <c r="C163" s="559" t="s">
        <v>179</v>
      </c>
      <c r="D163" s="77"/>
      <c r="E163" s="78"/>
      <c r="F163" s="78"/>
      <c r="G163" s="78"/>
      <c r="H163" s="78"/>
      <c r="I163" s="78"/>
      <c r="J163" s="79"/>
      <c r="K163" s="79"/>
      <c r="L163" s="79"/>
      <c r="M163" s="79"/>
      <c r="N163" s="79"/>
      <c r="O163" s="79"/>
      <c r="P163" s="79"/>
      <c r="Q163" s="79"/>
      <c r="R163" s="79"/>
      <c r="S163" s="79"/>
      <c r="T163" s="79"/>
      <c r="U163" s="79"/>
      <c r="V163" s="79"/>
      <c r="W163" s="79"/>
      <c r="X163" s="79"/>
      <c r="Y163" s="79"/>
      <c r="Z163" s="79"/>
      <c r="AA163" s="307"/>
      <c r="AB163" s="375"/>
      <c r="AC163" s="345"/>
      <c r="AD163" s="345"/>
      <c r="AE163" s="345"/>
      <c r="AF163" s="345"/>
      <c r="AG163" s="345"/>
      <c r="AH163" s="345"/>
      <c r="AI163" s="345"/>
      <c r="AJ163" s="597">
        <f t="shared" si="46"/>
        <v>0</v>
      </c>
      <c r="AK163" s="116"/>
      <c r="AL163" s="1142"/>
      <c r="AM163" s="31"/>
      <c r="AN163" s="1134"/>
      <c r="AO163" s="13">
        <v>91</v>
      </c>
      <c r="AP163" s="74"/>
      <c r="AQ163" s="75"/>
    </row>
    <row r="164" spans="1:43" ht="27" hidden="1" customHeight="1" thickBot="1" x14ac:dyDescent="0.45">
      <c r="A164" s="1224"/>
      <c r="B164" s="76" t="s">
        <v>625</v>
      </c>
      <c r="C164" s="559" t="s">
        <v>180</v>
      </c>
      <c r="D164" s="77"/>
      <c r="E164" s="78"/>
      <c r="F164" s="78"/>
      <c r="G164" s="78"/>
      <c r="H164" s="78"/>
      <c r="I164" s="78"/>
      <c r="J164" s="79"/>
      <c r="K164" s="79"/>
      <c r="L164" s="79"/>
      <c r="M164" s="79"/>
      <c r="N164" s="79"/>
      <c r="O164" s="79"/>
      <c r="P164" s="79"/>
      <c r="Q164" s="79"/>
      <c r="R164" s="79"/>
      <c r="S164" s="79"/>
      <c r="T164" s="79"/>
      <c r="U164" s="79"/>
      <c r="V164" s="79"/>
      <c r="W164" s="79"/>
      <c r="X164" s="79"/>
      <c r="Y164" s="79"/>
      <c r="Z164" s="79"/>
      <c r="AA164" s="307"/>
      <c r="AB164" s="375"/>
      <c r="AC164" s="345"/>
      <c r="AD164" s="345"/>
      <c r="AE164" s="345"/>
      <c r="AF164" s="345"/>
      <c r="AG164" s="345"/>
      <c r="AH164" s="345"/>
      <c r="AI164" s="345"/>
      <c r="AJ164" s="597">
        <f t="shared" si="46"/>
        <v>0</v>
      </c>
      <c r="AK164" s="116"/>
      <c r="AL164" s="1142"/>
      <c r="AM164" s="31"/>
      <c r="AN164" s="1134"/>
      <c r="AO164" s="13">
        <v>92</v>
      </c>
      <c r="AP164" s="74"/>
      <c r="AQ164" s="75"/>
    </row>
    <row r="165" spans="1:43" ht="27" hidden="1" customHeight="1" thickBot="1" x14ac:dyDescent="0.45">
      <c r="A165" s="1224"/>
      <c r="B165" s="76" t="s">
        <v>626</v>
      </c>
      <c r="C165" s="559" t="s">
        <v>181</v>
      </c>
      <c r="D165" s="77"/>
      <c r="E165" s="78"/>
      <c r="F165" s="78"/>
      <c r="G165" s="78"/>
      <c r="H165" s="78"/>
      <c r="I165" s="78"/>
      <c r="J165" s="79"/>
      <c r="K165" s="79"/>
      <c r="L165" s="79"/>
      <c r="M165" s="79"/>
      <c r="N165" s="79"/>
      <c r="O165" s="79"/>
      <c r="P165" s="79"/>
      <c r="Q165" s="79"/>
      <c r="R165" s="79"/>
      <c r="S165" s="79"/>
      <c r="T165" s="79"/>
      <c r="U165" s="79"/>
      <c r="V165" s="79"/>
      <c r="W165" s="79"/>
      <c r="X165" s="79"/>
      <c r="Y165" s="79"/>
      <c r="Z165" s="79"/>
      <c r="AA165" s="307"/>
      <c r="AB165" s="375"/>
      <c r="AC165" s="345"/>
      <c r="AD165" s="345"/>
      <c r="AE165" s="345"/>
      <c r="AF165" s="345"/>
      <c r="AG165" s="345"/>
      <c r="AH165" s="345"/>
      <c r="AI165" s="345"/>
      <c r="AJ165" s="597">
        <f t="shared" si="46"/>
        <v>0</v>
      </c>
      <c r="AK165" s="116"/>
      <c r="AL165" s="1142"/>
      <c r="AM165" s="31"/>
      <c r="AN165" s="1134"/>
      <c r="AO165" s="13">
        <v>93</v>
      </c>
      <c r="AP165" s="74"/>
      <c r="AQ165" s="75"/>
    </row>
    <row r="166" spans="1:43" ht="27" hidden="1" customHeight="1" thickBot="1" x14ac:dyDescent="0.45">
      <c r="A166" s="1110"/>
      <c r="B166" s="87" t="s">
        <v>627</v>
      </c>
      <c r="C166" s="560" t="s">
        <v>182</v>
      </c>
      <c r="D166" s="103"/>
      <c r="E166" s="102"/>
      <c r="F166" s="102"/>
      <c r="G166" s="102"/>
      <c r="H166" s="102"/>
      <c r="I166" s="102"/>
      <c r="J166" s="89"/>
      <c r="K166" s="89"/>
      <c r="L166" s="89"/>
      <c r="M166" s="89"/>
      <c r="N166" s="89"/>
      <c r="O166" s="89"/>
      <c r="P166" s="89"/>
      <c r="Q166" s="89"/>
      <c r="R166" s="89"/>
      <c r="S166" s="89"/>
      <c r="T166" s="89"/>
      <c r="U166" s="89"/>
      <c r="V166" s="89"/>
      <c r="W166" s="89"/>
      <c r="X166" s="89"/>
      <c r="Y166" s="89"/>
      <c r="Z166" s="89"/>
      <c r="AA166" s="309"/>
      <c r="AB166" s="375"/>
      <c r="AC166" s="345"/>
      <c r="AD166" s="345"/>
      <c r="AE166" s="345"/>
      <c r="AF166" s="345"/>
      <c r="AG166" s="345"/>
      <c r="AH166" s="345"/>
      <c r="AI166" s="345"/>
      <c r="AJ166" s="597">
        <f t="shared" si="46"/>
        <v>0</v>
      </c>
      <c r="AK166" s="116"/>
      <c r="AL166" s="1142"/>
      <c r="AM166" s="31"/>
      <c r="AN166" s="1134"/>
      <c r="AO166" s="13">
        <v>94</v>
      </c>
      <c r="AP166" s="74"/>
      <c r="AQ166" s="75"/>
    </row>
    <row r="167" spans="1:43" ht="27" hidden="1" customHeight="1" thickBot="1" x14ac:dyDescent="0.45">
      <c r="A167" s="1136" t="s">
        <v>102</v>
      </c>
      <c r="B167" s="136" t="s">
        <v>628</v>
      </c>
      <c r="C167" s="558" t="s">
        <v>330</v>
      </c>
      <c r="D167" s="98"/>
      <c r="E167" s="99"/>
      <c r="F167" s="99"/>
      <c r="G167" s="99"/>
      <c r="H167" s="99"/>
      <c r="I167" s="99"/>
      <c r="J167" s="99"/>
      <c r="K167" s="99"/>
      <c r="L167" s="99"/>
      <c r="M167" s="99"/>
      <c r="N167" s="99"/>
      <c r="O167" s="99"/>
      <c r="P167" s="99"/>
      <c r="Q167" s="99"/>
      <c r="R167" s="99"/>
      <c r="S167" s="99"/>
      <c r="T167" s="99"/>
      <c r="U167" s="99"/>
      <c r="V167" s="99"/>
      <c r="W167" s="99"/>
      <c r="X167" s="99"/>
      <c r="Y167" s="99"/>
      <c r="Z167" s="99"/>
      <c r="AA167" s="312"/>
      <c r="AB167" s="375"/>
      <c r="AC167" s="345"/>
      <c r="AD167" s="345"/>
      <c r="AE167" s="345"/>
      <c r="AF167" s="345"/>
      <c r="AG167" s="345"/>
      <c r="AH167" s="345"/>
      <c r="AI167" s="345"/>
      <c r="AJ167" s="597">
        <f t="shared" si="46"/>
        <v>0</v>
      </c>
      <c r="AK167" s="116"/>
      <c r="AL167" s="1142"/>
      <c r="AM167" s="31"/>
      <c r="AN167" s="1134"/>
      <c r="AO167" s="13">
        <v>95</v>
      </c>
      <c r="AP167" s="74"/>
      <c r="AQ167" s="75"/>
    </row>
    <row r="168" spans="1:43" ht="27" hidden="1" customHeight="1" thickBot="1" x14ac:dyDescent="0.45">
      <c r="A168" s="1225"/>
      <c r="B168" s="137" t="s">
        <v>629</v>
      </c>
      <c r="C168" s="587" t="s">
        <v>331</v>
      </c>
      <c r="D168" s="133"/>
      <c r="E168" s="120"/>
      <c r="F168" s="120"/>
      <c r="G168" s="120"/>
      <c r="H168" s="120"/>
      <c r="I168" s="120"/>
      <c r="J168" s="120"/>
      <c r="K168" s="120"/>
      <c r="L168" s="120"/>
      <c r="M168" s="120"/>
      <c r="N168" s="120"/>
      <c r="O168" s="120"/>
      <c r="P168" s="120"/>
      <c r="Q168" s="120"/>
      <c r="R168" s="120"/>
      <c r="S168" s="120"/>
      <c r="T168" s="120"/>
      <c r="U168" s="120"/>
      <c r="V168" s="120"/>
      <c r="W168" s="120"/>
      <c r="X168" s="120"/>
      <c r="Y168" s="120"/>
      <c r="Z168" s="120"/>
      <c r="AA168" s="323"/>
      <c r="AB168" s="376"/>
      <c r="AC168" s="377"/>
      <c r="AD168" s="377"/>
      <c r="AE168" s="377"/>
      <c r="AF168" s="377"/>
      <c r="AG168" s="377"/>
      <c r="AH168" s="377"/>
      <c r="AI168" s="377"/>
      <c r="AJ168" s="597">
        <f t="shared" si="46"/>
        <v>0</v>
      </c>
      <c r="AK168" s="122"/>
      <c r="AL168" s="1142"/>
      <c r="AM168" s="123"/>
      <c r="AN168" s="1135"/>
      <c r="AO168" s="13">
        <v>96</v>
      </c>
      <c r="AP168" s="74"/>
      <c r="AQ168" s="75"/>
    </row>
    <row r="169" spans="1:43" ht="26.25" x14ac:dyDescent="0.4">
      <c r="A169" s="1232" t="s">
        <v>1198</v>
      </c>
      <c r="B169" s="805" t="s">
        <v>367</v>
      </c>
      <c r="C169" s="992" t="s">
        <v>1199</v>
      </c>
      <c r="D169" s="635"/>
      <c r="E169" s="635"/>
      <c r="F169" s="635"/>
      <c r="G169" s="635"/>
      <c r="H169" s="635"/>
      <c r="I169" s="635"/>
      <c r="J169" s="635"/>
      <c r="K169" s="636"/>
      <c r="L169" s="635"/>
      <c r="M169" s="636"/>
      <c r="N169" s="635"/>
      <c r="O169" s="636"/>
      <c r="P169" s="635"/>
      <c r="Q169" s="636"/>
      <c r="R169" s="635"/>
      <c r="S169" s="636"/>
      <c r="T169" s="635"/>
      <c r="U169" s="636"/>
      <c r="V169" s="635"/>
      <c r="W169" s="636"/>
      <c r="X169" s="635"/>
      <c r="Y169" s="636"/>
      <c r="Z169" s="635"/>
      <c r="AA169" s="637"/>
      <c r="AB169" s="345"/>
      <c r="AC169" s="345"/>
      <c r="AD169" s="345"/>
      <c r="AE169" s="345"/>
      <c r="AF169" s="345"/>
      <c r="AG169" s="345"/>
      <c r="AH169" s="345"/>
      <c r="AI169" s="345"/>
      <c r="AJ169" s="597">
        <f t="shared" si="46"/>
        <v>0</v>
      </c>
      <c r="AK169" s="791"/>
      <c r="AL169" s="1142"/>
      <c r="AM169" s="125"/>
      <c r="AN169" s="126"/>
      <c r="AO169" s="13"/>
      <c r="AP169" s="74"/>
      <c r="AQ169" s="75"/>
    </row>
    <row r="170" spans="1:43" ht="27" thickBot="1" x14ac:dyDescent="0.45">
      <c r="A170" s="1158"/>
      <c r="B170" s="514" t="s">
        <v>365</v>
      </c>
      <c r="C170" s="993" t="s">
        <v>1200</v>
      </c>
      <c r="D170" s="638"/>
      <c r="E170" s="638"/>
      <c r="F170" s="638"/>
      <c r="G170" s="638"/>
      <c r="H170" s="638"/>
      <c r="I170" s="638"/>
      <c r="J170" s="639"/>
      <c r="K170" s="638"/>
      <c r="L170" s="639"/>
      <c r="M170" s="638"/>
      <c r="N170" s="639"/>
      <c r="O170" s="638"/>
      <c r="P170" s="639"/>
      <c r="Q170" s="638"/>
      <c r="R170" s="639"/>
      <c r="S170" s="638"/>
      <c r="T170" s="639"/>
      <c r="U170" s="638"/>
      <c r="V170" s="639"/>
      <c r="W170" s="638"/>
      <c r="X170" s="639"/>
      <c r="Y170" s="638"/>
      <c r="Z170" s="639"/>
      <c r="AA170" s="640"/>
      <c r="AB170" s="345"/>
      <c r="AC170" s="345"/>
      <c r="AD170" s="345"/>
      <c r="AE170" s="345"/>
      <c r="AF170" s="345"/>
      <c r="AG170" s="345"/>
      <c r="AH170" s="345"/>
      <c r="AI170" s="345"/>
      <c r="AJ170" s="597">
        <f t="shared" si="46"/>
        <v>0</v>
      </c>
      <c r="AK170" s="791"/>
      <c r="AL170" s="1142"/>
      <c r="AM170" s="125"/>
      <c r="AN170" s="126"/>
      <c r="AO170" s="13"/>
      <c r="AP170" s="74"/>
      <c r="AQ170" s="75"/>
    </row>
    <row r="171" spans="1:43" ht="26.25" x14ac:dyDescent="0.4">
      <c r="A171" s="1228" t="s">
        <v>1271</v>
      </c>
      <c r="B171" s="979" t="s">
        <v>1259</v>
      </c>
      <c r="C171" s="980" t="s">
        <v>1272</v>
      </c>
      <c r="D171" s="876"/>
      <c r="E171" s="877"/>
      <c r="F171" s="877"/>
      <c r="G171" s="877"/>
      <c r="H171" s="877"/>
      <c r="I171" s="877"/>
      <c r="J171" s="878"/>
      <c r="K171" s="878"/>
      <c r="L171" s="878"/>
      <c r="M171" s="878"/>
      <c r="N171" s="878"/>
      <c r="O171" s="878"/>
      <c r="P171" s="878"/>
      <c r="Q171" s="878"/>
      <c r="R171" s="878"/>
      <c r="S171" s="878"/>
      <c r="T171" s="878"/>
      <c r="U171" s="878"/>
      <c r="V171" s="878"/>
      <c r="W171" s="878"/>
      <c r="X171" s="878"/>
      <c r="Y171" s="878"/>
      <c r="Z171" s="878"/>
      <c r="AA171" s="878"/>
      <c r="AB171" s="345"/>
      <c r="AC171" s="345"/>
      <c r="AD171" s="345"/>
      <c r="AE171" s="345"/>
      <c r="AF171" s="345"/>
      <c r="AG171" s="345"/>
      <c r="AH171" s="345"/>
      <c r="AI171" s="302"/>
      <c r="AJ171" s="597">
        <f t="shared" si="46"/>
        <v>0</v>
      </c>
      <c r="AK171" s="895" t="str">
        <f>CONCATENATE(IF(D147&lt;&gt;(D171+D172)," * "&amp;A171&amp;" "&amp;$D$20&amp;" "&amp;$D$21&amp;" should be equal to Total "&amp;A147&amp;""&amp;CHAR(10),""),IF(E147&lt;&gt;(E171+E172)," * "&amp;A171&amp;" "&amp;$D$20&amp;" "&amp;$E$21&amp;" should be equal to Total  "&amp;A147&amp;""&amp;CHAR(10),""),IF(F147&lt;&gt;(F171+F172)," * "&amp;A171&amp;" "&amp;$F$20&amp;" "&amp;$F$21&amp;" should be equal to Total  "&amp;A147&amp;""&amp;CHAR(10),""),IF(G147&lt;&gt;(G171+G172)," * "&amp;A171&amp;" "&amp;$F$20&amp;" "&amp;$G$21&amp;" should be equal to Total  "&amp;A147&amp;""&amp;CHAR(10),""),IF(H147&lt;&gt;(H171+H172)," * "&amp;A171&amp;" "&amp;$H$20&amp;" "&amp;$H$21&amp;" should be equal to Total  "&amp;A147&amp;""&amp;CHAR(10),""),IF(I147&lt;&gt;(I171+I172)," * "&amp;A171&amp;" "&amp;$H$20&amp;" "&amp;$I$21&amp;" should be equal to Total  "&amp;A147&amp;""&amp;CHAR(10),""),IF(J147&lt;&gt;(J171+J172)," * "&amp;A171&amp;" "&amp;$J$20&amp;" "&amp;$J$21&amp;" should be equal to Total  "&amp;A147&amp;""&amp;CHAR(10),""),IF(K147&lt;&gt;(K171+K172)," * "&amp;A171&amp;" "&amp;$J$20&amp;" "&amp;$K$21&amp;" should be equal to Total  "&amp;A147&amp;""&amp;CHAR(10),""),IF(L147&lt;&gt;(L171+L172)," * "&amp;A171&amp;" "&amp;$L$20&amp;" "&amp;$L$21&amp;" should be equal to Total  "&amp;A147&amp;""&amp;CHAR(10),""),IF(M147&lt;&gt;(M171+M172)," * "&amp;A171&amp;" "&amp;$L$20&amp;" "&amp;$M$21&amp;" should be equal to Total  "&amp;A147&amp;""&amp;CHAR(10),""),IF(N147&lt;&gt;(N171+N172)," * "&amp;A171&amp;" "&amp;$N$20&amp;" "&amp;$N$21&amp;" should be equal to Total  "&amp;A147&amp;""&amp;CHAR(10),""),IF(O147&lt;&gt;(O171+O172)," * "&amp;A171&amp;" "&amp;$N$20&amp;" "&amp;$O$21&amp;" should be equal to Total  "&amp;A147&amp;""&amp;CHAR(10),""),IF(P147&lt;&gt;(P171+P172)," * "&amp;A171&amp;" "&amp;$P$20&amp;" "&amp;$P$21&amp;" should be equal to Total  "&amp;A147&amp;""&amp;CHAR(10),""),IF(Q147&lt;&gt;(Q171+Q172)," * "&amp;A171&amp;" "&amp;$P$20&amp;" "&amp;$Q$21&amp;" should be equal to Total  "&amp;A147&amp;""&amp;CHAR(10),""),IF(R147&lt;&gt;(R171+R172)," * "&amp;A171&amp;" "&amp;$R$20&amp;" "&amp;$R$21&amp;" should be equal to Total  "&amp;A147&amp;""&amp;CHAR(10),""),IF(S147&lt;&gt;(S171+S172)," * "&amp;A171&amp;" "&amp;$R$20&amp;" "&amp;$S$21&amp;" should be equal to Total  "&amp;A147&amp;""&amp;CHAR(10),""),IF(T147&lt;&gt;(T171+T172)," * "&amp;A171&amp;" "&amp;$T$20&amp;" "&amp;$T$21&amp;" should be equal to Total  "&amp;A147&amp;""&amp;CHAR(10),""),IF(U147&lt;&gt;(U171+U172)," * "&amp;A171&amp;" "&amp;$T$20&amp;" "&amp;$U$21&amp;" should be equal to Total  "&amp;A147&amp;""&amp;CHAR(10),""),IF(V147&lt;&gt;(V171+V172)," * "&amp;A171&amp;" "&amp;$V$20&amp;" "&amp;$V$21&amp;" should be equal to Total  "&amp;A147&amp;""&amp;CHAR(10),""),IF(W147&lt;&gt;(W171+W172)," * "&amp;A171&amp;" "&amp;$V$20&amp;" "&amp;$W$21&amp;" should be equal to Total  "&amp;A147&amp;""&amp;CHAR(10),""),IF(X147&lt;&gt;(X171+X172)," * "&amp;A171&amp;" "&amp;$X$20&amp;" "&amp;$X$21&amp;" should be equal to Total  "&amp;A147&amp;""&amp;CHAR(10),""),IF(Y147&lt;&gt;(Y171+Y172)," * "&amp;A171&amp;" "&amp;$X$20&amp;" "&amp;$Y$21&amp;" should be equal to Total  "&amp;A147&amp;""&amp;CHAR(10),""),IF(Z147&lt;&gt;(Z171+Z172)," * "&amp;A171&amp;" "&amp;$Z$20&amp;" "&amp;$Z$21&amp;" should be equal to Total  "&amp;A147&amp;""&amp;CHAR(10),""),IF(AA147&lt;&gt;(AA171+AA172)," * "&amp;A171&amp;" "&amp;$Z$20&amp;" "&amp;$AA$21&amp;" should be equal to Total  "&amp;A147&amp;""&amp;CHAR(10),""))</f>
        <v/>
      </c>
      <c r="AL171" s="1142"/>
      <c r="AM171" s="31"/>
      <c r="AN171" s="126"/>
      <c r="AO171" s="13"/>
      <c r="AP171" s="74"/>
      <c r="AQ171" s="75"/>
    </row>
    <row r="172" spans="1:43" ht="27" thickBot="1" x14ac:dyDescent="0.45">
      <c r="A172" s="1229"/>
      <c r="B172" s="981" t="s">
        <v>1260</v>
      </c>
      <c r="C172" s="982" t="s">
        <v>1273</v>
      </c>
      <c r="D172" s="880"/>
      <c r="E172" s="881"/>
      <c r="F172" s="881"/>
      <c r="G172" s="881"/>
      <c r="H172" s="881"/>
      <c r="I172" s="881"/>
      <c r="J172" s="882"/>
      <c r="K172" s="882"/>
      <c r="L172" s="882"/>
      <c r="M172" s="882"/>
      <c r="N172" s="882"/>
      <c r="O172" s="882"/>
      <c r="P172" s="882"/>
      <c r="Q172" s="882"/>
      <c r="R172" s="882"/>
      <c r="S172" s="882"/>
      <c r="T172" s="882"/>
      <c r="U172" s="882"/>
      <c r="V172" s="882"/>
      <c r="W172" s="882"/>
      <c r="X172" s="882"/>
      <c r="Y172" s="882"/>
      <c r="Z172" s="882"/>
      <c r="AA172" s="882"/>
      <c r="AB172" s="345"/>
      <c r="AC172" s="345"/>
      <c r="AD172" s="345"/>
      <c r="AE172" s="345"/>
      <c r="AF172" s="345"/>
      <c r="AG172" s="345"/>
      <c r="AH172" s="345"/>
      <c r="AI172" s="302"/>
      <c r="AJ172" s="597">
        <f t="shared" si="46"/>
        <v>0</v>
      </c>
      <c r="AK172" s="865"/>
      <c r="AL172" s="1142"/>
      <c r="AM172" s="31"/>
      <c r="AN172" s="126"/>
      <c r="AO172" s="13"/>
      <c r="AP172" s="74"/>
      <c r="AQ172" s="75"/>
    </row>
    <row r="173" spans="1:43" ht="26.25" x14ac:dyDescent="0.4">
      <c r="A173" s="1228" t="s">
        <v>1308</v>
      </c>
      <c r="B173" s="979" t="s">
        <v>1263</v>
      </c>
      <c r="C173" s="980" t="s">
        <v>1274</v>
      </c>
      <c r="D173" s="876"/>
      <c r="E173" s="877"/>
      <c r="F173" s="877"/>
      <c r="G173" s="877"/>
      <c r="H173" s="877"/>
      <c r="I173" s="877"/>
      <c r="J173" s="878"/>
      <c r="K173" s="878"/>
      <c r="L173" s="878"/>
      <c r="M173" s="878"/>
      <c r="N173" s="878"/>
      <c r="O173" s="878"/>
      <c r="P173" s="878"/>
      <c r="Q173" s="878"/>
      <c r="R173" s="878"/>
      <c r="S173" s="878"/>
      <c r="T173" s="878"/>
      <c r="U173" s="878"/>
      <c r="V173" s="878"/>
      <c r="W173" s="878"/>
      <c r="X173" s="878"/>
      <c r="Y173" s="878"/>
      <c r="Z173" s="878"/>
      <c r="AA173" s="878"/>
      <c r="AB173" s="345"/>
      <c r="AC173" s="345"/>
      <c r="AD173" s="345"/>
      <c r="AE173" s="345"/>
      <c r="AF173" s="345"/>
      <c r="AG173" s="345"/>
      <c r="AH173" s="345"/>
      <c r="AI173" s="302"/>
      <c r="AJ173" s="597">
        <f t="shared" si="46"/>
        <v>0</v>
      </c>
      <c r="AK173" s="895" t="str">
        <f>CONCATENATE(IF(D147&lt;&gt;(D173+D174+D175)," * Total "&amp;A173&amp;" "&amp;$D$20&amp;" "&amp;$D$21&amp;" should be equal to Total "&amp;A147&amp;""&amp;CHAR(10),""),IF(E147&lt;&gt;(E173+E174+E175)," * Total "&amp;A173&amp;" "&amp;$D$20&amp;" "&amp;$E$21&amp;" should be equal to Total  "&amp;A147&amp;""&amp;CHAR(10),""),IF(F147&lt;&gt;(F173+F174+F175)," * Total "&amp;A173&amp;" "&amp;$F$20&amp;" "&amp;$F$21&amp;" should be equal to Total  "&amp;A147&amp;""&amp;CHAR(10),""),IF(G147&lt;&gt;(G173+G174+G175)," * Total "&amp;A173&amp;" "&amp;$F$20&amp;" "&amp;$G$21&amp;" should be equal to Total  "&amp;A147&amp;""&amp;CHAR(10),""),IF(H147&lt;&gt;(H173+H174+H175)," * Total "&amp;A173&amp;" "&amp;$H$20&amp;" "&amp;$H$21&amp;" should be equal to Total  "&amp;A147&amp;""&amp;CHAR(10),""),IF(I147&lt;&gt;(I173+I174+I175)," * Total "&amp;A173&amp;" "&amp;$H$20&amp;" "&amp;$I$21&amp;" should be equal to Total  "&amp;A147&amp;""&amp;CHAR(10),""),IF(J147&lt;&gt;(J173+J174+J175)," * Total "&amp;A173&amp;" "&amp;$J$20&amp;" "&amp;$J$21&amp;" should be equal to Total  "&amp;A147&amp;""&amp;CHAR(10),""),IF(K147&lt;&gt;(K173+K174+K175)," * Total "&amp;A173&amp;" "&amp;$J$20&amp;" "&amp;$K$21&amp;" should be equal to Total  "&amp;A147&amp;""&amp;CHAR(10),""),IF(L147&lt;&gt;(L173+L174+L175)," * Total "&amp;A173&amp;" "&amp;$L$20&amp;" "&amp;$L$21&amp;" should be equal to Total  "&amp;A147&amp;""&amp;CHAR(10),""),IF(M147&lt;&gt;(M173+M174+M175)," * Total "&amp;A173&amp;" "&amp;$L$20&amp;" "&amp;$M$21&amp;" should be equal to Total  "&amp;A147&amp;""&amp;CHAR(10),""),IF(N147&lt;&gt;(N173+N174+N175)," * Total "&amp;A173&amp;" "&amp;$N$20&amp;" "&amp;$N$21&amp;" should be equal to Total  "&amp;A147&amp;""&amp;CHAR(10),""),IF(O147&lt;&gt;(O173+O174+O175)," * Total "&amp;A173&amp;" "&amp;$N$20&amp;" "&amp;$O$21&amp;" should be equal to Total  "&amp;A147&amp;""&amp;CHAR(10),""),IF(P147&lt;&gt;(P173+P174+P175)," * Total "&amp;A173&amp;" "&amp;$P$20&amp;" "&amp;$P$21&amp;" should be equal to Total  "&amp;A147&amp;""&amp;CHAR(10),""),IF(Q147&lt;&gt;(Q173+Q174+Q175)," * Total "&amp;A173&amp;" "&amp;$P$20&amp;" "&amp;$Q$21&amp;" should be equal to Total  "&amp;A147&amp;""&amp;CHAR(10),""),IF(R147&lt;&gt;(R173+R174+R175)," * Total "&amp;A173&amp;" "&amp;$R$20&amp;" "&amp;$R$21&amp;" should be equal to Total  "&amp;A147&amp;""&amp;CHAR(10),""),IF(S147&lt;&gt;(S173+S174+S175)," * Total "&amp;A173&amp;" "&amp;$R$20&amp;" "&amp;$S$21&amp;" should be equal to Total  "&amp;A147&amp;""&amp;CHAR(10),""),IF(T147&lt;&gt;(T173+T174+T175)," * Total "&amp;A173&amp;" "&amp;$T$20&amp;" "&amp;$T$21&amp;" should be equal to Total  "&amp;A147&amp;""&amp;CHAR(10),""),IF(U147&lt;&gt;(U173+U174+U175)," * Total "&amp;A173&amp;" "&amp;$T$20&amp;" "&amp;$U$21&amp;" should be equal to Total  "&amp;A147&amp;""&amp;CHAR(10),""),IF(V147&lt;&gt;(V173+V174+V175)," * Total "&amp;A173&amp;" "&amp;$V$20&amp;" "&amp;$V$21&amp;" should be equal to Total  "&amp;A147&amp;""&amp;CHAR(10),""),IF(W147&lt;&gt;(W173+W174+W175)," * Total "&amp;A173&amp;" "&amp;$V$20&amp;" "&amp;$W$21&amp;" should be equal to Total  "&amp;A147&amp;""&amp;CHAR(10),""),IF(X147&lt;&gt;(X173+X174+X175)," * Total "&amp;A173&amp;" "&amp;$X$20&amp;" "&amp;$X$21&amp;" should be equal to Total  "&amp;A147&amp;""&amp;CHAR(10),""),IF(Y147&lt;&gt;(Y173+Y174+Y175)," * Total "&amp;A173&amp;" "&amp;$X$20&amp;" "&amp;$Y$21&amp;" should be equal to Total  "&amp;A147&amp;""&amp;CHAR(10),""),IF(Z147&lt;&gt;(Z173+Z174+Z175)," * Total "&amp;A173&amp;" "&amp;$Z$20&amp;" "&amp;$Z$21&amp;" should be equal to Total  "&amp;A147&amp;""&amp;CHAR(10),""),IF(AA147&lt;&gt;(AA173+AA174+AA175)," * Total "&amp;A173&amp;" "&amp;$Z$20&amp;" "&amp;$AA$21&amp;" should be equal to Total  "&amp;A147&amp;""&amp;CHAR(10),""))</f>
        <v/>
      </c>
      <c r="AL173" s="1142"/>
      <c r="AM173" s="31"/>
      <c r="AN173" s="126"/>
      <c r="AO173" s="13"/>
      <c r="AP173" s="74"/>
      <c r="AQ173" s="75"/>
    </row>
    <row r="174" spans="1:43" ht="26.25" x14ac:dyDescent="0.4">
      <c r="A174" s="1230"/>
      <c r="B174" s="983" t="s">
        <v>1266</v>
      </c>
      <c r="C174" s="939" t="s">
        <v>1275</v>
      </c>
      <c r="D174" s="889"/>
      <c r="E174" s="890"/>
      <c r="F174" s="890"/>
      <c r="G174" s="890"/>
      <c r="H174" s="890"/>
      <c r="I174" s="890"/>
      <c r="J174" s="890"/>
      <c r="K174" s="890"/>
      <c r="L174" s="890"/>
      <c r="M174" s="890"/>
      <c r="N174" s="890"/>
      <c r="O174" s="890"/>
      <c r="P174" s="890"/>
      <c r="Q174" s="890"/>
      <c r="R174" s="890"/>
      <c r="S174" s="890"/>
      <c r="T174" s="890"/>
      <c r="U174" s="890"/>
      <c r="V174" s="890"/>
      <c r="W174" s="890"/>
      <c r="X174" s="890"/>
      <c r="Y174" s="890"/>
      <c r="Z174" s="890"/>
      <c r="AA174" s="890"/>
      <c r="AB174" s="345"/>
      <c r="AC174" s="345"/>
      <c r="AD174" s="345"/>
      <c r="AE174" s="345"/>
      <c r="AF174" s="345"/>
      <c r="AG174" s="345"/>
      <c r="AH174" s="345"/>
      <c r="AI174" s="302"/>
      <c r="AJ174" s="597">
        <f t="shared" si="46"/>
        <v>0</v>
      </c>
      <c r="AK174" s="865"/>
      <c r="AL174" s="1142"/>
      <c r="AM174" s="31"/>
      <c r="AN174" s="126"/>
      <c r="AO174" s="13"/>
      <c r="AP174" s="74"/>
      <c r="AQ174" s="75"/>
    </row>
    <row r="175" spans="1:43" ht="27" thickBot="1" x14ac:dyDescent="0.45">
      <c r="A175" s="1229"/>
      <c r="B175" s="981" t="s">
        <v>21</v>
      </c>
      <c r="C175" s="982" t="s">
        <v>1276</v>
      </c>
      <c r="D175" s="880"/>
      <c r="E175" s="881"/>
      <c r="F175" s="881"/>
      <c r="G175" s="881"/>
      <c r="H175" s="881"/>
      <c r="I175" s="881"/>
      <c r="J175" s="881"/>
      <c r="K175" s="881"/>
      <c r="L175" s="881"/>
      <c r="M175" s="881"/>
      <c r="N175" s="881"/>
      <c r="O175" s="881"/>
      <c r="P175" s="881"/>
      <c r="Q175" s="881"/>
      <c r="R175" s="881"/>
      <c r="S175" s="881"/>
      <c r="T175" s="881"/>
      <c r="U175" s="881"/>
      <c r="V175" s="881"/>
      <c r="W175" s="881"/>
      <c r="X175" s="881"/>
      <c r="Y175" s="881"/>
      <c r="Z175" s="881"/>
      <c r="AA175" s="881"/>
      <c r="AB175" s="345"/>
      <c r="AC175" s="345"/>
      <c r="AD175" s="345"/>
      <c r="AE175" s="345"/>
      <c r="AF175" s="345"/>
      <c r="AG175" s="345"/>
      <c r="AH175" s="345"/>
      <c r="AI175" s="302"/>
      <c r="AJ175" s="597">
        <f t="shared" si="46"/>
        <v>0</v>
      </c>
      <c r="AK175" s="865"/>
      <c r="AL175" s="1142"/>
      <c r="AM175" s="31"/>
      <c r="AN175" s="126"/>
      <c r="AO175" s="13"/>
      <c r="AP175" s="74"/>
      <c r="AQ175" s="75"/>
    </row>
    <row r="176" spans="1:43" ht="30.75" customHeight="1" thickBot="1" x14ac:dyDescent="0.45">
      <c r="A176" s="984" t="s">
        <v>1280</v>
      </c>
      <c r="B176" s="979" t="s">
        <v>1281</v>
      </c>
      <c r="C176" s="980" t="s">
        <v>1282</v>
      </c>
      <c r="D176" s="876"/>
      <c r="E176" s="877"/>
      <c r="F176" s="877"/>
      <c r="G176" s="877"/>
      <c r="H176" s="877"/>
      <c r="I176" s="877"/>
      <c r="J176" s="878"/>
      <c r="K176" s="878"/>
      <c r="L176" s="878"/>
      <c r="M176" s="878"/>
      <c r="N176" s="878"/>
      <c r="O176" s="878"/>
      <c r="P176" s="878"/>
      <c r="Q176" s="878"/>
      <c r="R176" s="878"/>
      <c r="S176" s="878"/>
      <c r="T176" s="878"/>
      <c r="U176" s="878"/>
      <c r="V176" s="878"/>
      <c r="W176" s="878"/>
      <c r="X176" s="878"/>
      <c r="Y176" s="878"/>
      <c r="Z176" s="878"/>
      <c r="AA176" s="878"/>
      <c r="AB176" s="345"/>
      <c r="AC176" s="345"/>
      <c r="AD176" s="345"/>
      <c r="AE176" s="345"/>
      <c r="AF176" s="345"/>
      <c r="AG176" s="345"/>
      <c r="AH176" s="345"/>
      <c r="AI176" s="302"/>
      <c r="AJ176" s="597">
        <f t="shared" si="46"/>
        <v>0</v>
      </c>
      <c r="AK176" s="895" t="str">
        <f>CONCATENATE(IF(D176&gt;D147," * PrEP_CT Event-Driven Prep For age "&amp;$D$20&amp;" "&amp;$D$21&amp;" Should not be more than Total PrEP_CT"&amp;CHAR(10),""),IF(E176&gt;E147," * PrEP_CT Event-Driven Prep For age "&amp;$D$20&amp;" "&amp;$E$21&amp;" Should not be more than Total PrEP_CT"&amp;CHAR(10),""),IF(F176&gt;F147," * PrEP_CT Event-Driven Prep For age "&amp;$F$20&amp;" "&amp;$F$21&amp;" Should not be more than Total PrEP_CT"&amp;CHAR(10),""),IF(G176&gt;G147," * PrEP_CT Event-Driven Prep For age "&amp;$F$20&amp;" "&amp;$G$21&amp;" Should not be more than Total PrEP_CT"&amp;CHAR(10),""),IF(H176&gt;H147," * PrEP_CT Event-Driven Prep For age "&amp;$H$20&amp;" "&amp;$H$21&amp;" Should not be more than Total PrEP_CT"&amp;CHAR(10),""),IF(I176&gt;I147," * PrEP_CT Event-Driven Prep For age "&amp;$H$20&amp;" "&amp;$I$21&amp;" Should not be more than Total PrEP_CT"&amp;CHAR(10),""),IF(J176&gt;J147," * PrEP_CT Event-Driven Prep For age "&amp;$J$20&amp;" "&amp;$J$21&amp;" Should not be more than Total PrEP_CT"&amp;CHAR(10),""),IF(K176&gt;K147," * PrEP_CT Event-Driven Prep For age "&amp;$J$20&amp;" "&amp;$K$21&amp;" Should not be more than Total PrEP_CT"&amp;CHAR(10),""),IF(L176&gt;L147," * PrEP_CT Event-Driven Prep For age "&amp;$L$20&amp;" "&amp;$L$21&amp;" Should not be more than Total PrEP_CT"&amp;CHAR(10),""),IF(M176&gt;M147," * PrEP_CT Event-Driven Prep For age "&amp;$L$20&amp;" "&amp;$M$21&amp;" Should not be more than Total PrEP_CT"&amp;CHAR(10),""),IF(N176&gt;N147," * PrEP_CT Event-Driven Prep For age "&amp;$N$20&amp;" "&amp;$N$21&amp;" Should not be more than Total PrEP_CT"&amp;CHAR(10),""),IF(O176&gt;O147," * PrEP_CT Event-Driven Prep For age "&amp;$N$20&amp;" "&amp;$O$21&amp;" Should not be more than Total PrEP_CT"&amp;CHAR(10),""),IF(P176&gt;P147," * PrEP_CT Event-Driven Prep For age "&amp;$P$20&amp;" "&amp;$P$21&amp;" Should not be more than Total PrEP_CT"&amp;CHAR(10),""),IF(Q176&gt;Q147," * PrEP_CT Event-Driven Prep For age "&amp;$P$20&amp;" "&amp;$Q$21&amp;" Should not be more than Total PrEP_CT"&amp;CHAR(10),""),IF(R176&gt;R147," * PrEP_CT Event-Driven Prep For age "&amp;$R$20&amp;" "&amp;$R$21&amp;" Should not be more than Total PrEP_CT"&amp;CHAR(10),""),IF(S176&gt;S147," * PrEP_CT Event-Driven Prep For age "&amp;$R$20&amp;" "&amp;$S$21&amp;" Should not be more than Total PrEP_CT"&amp;CHAR(10),""),IF(T176&gt;T147," * PrEP_CT Event-Driven Prep For age "&amp;$T$20&amp;" "&amp;$T$21&amp;" Should not be more than Total PrEP_CT"&amp;CHAR(10),""),IF(U176&gt;U147," * PrEP_CT Event-Driven Prep For age "&amp;$T$20&amp;" "&amp;$U$21&amp;" Should not be more than Total PrEP_CT"&amp;CHAR(10),""),IF(V176&gt;V147," * PrEP_CT Event-Driven Prep For age "&amp;$V$20&amp;" "&amp;$V$21&amp;" Should not be more than Total PrEP_CT"&amp;CHAR(10),""),IF(W176&gt;W147," * PrEP_CT Event-Driven Prep For age "&amp;$V$20&amp;" "&amp;$W$21&amp;" Should not be more than Total PrEP_CT"&amp;CHAR(10),""),IF(X176&gt;X147," * PrEP_CT Event-Driven Prep For age "&amp;$X$20&amp;" "&amp;$X$21&amp;" Should not be more than Total PrEP_CT"&amp;CHAR(10),""),IF(Y176&gt;Y147," * PrEP_CT Event-Driven Prep For age "&amp;$X$20&amp;" "&amp;$Y$21&amp;" Should not be more than Total PrEP_CT"&amp;CHAR(10),""),IF(Z176&gt;Z147," * PrEP_CT Event-Driven Prep For age "&amp;$Z$20&amp;" "&amp;$Z$21&amp;" Should not be more than Total PrEP_CT"&amp;CHAR(10),""),IF(AA176&gt;AA147," * PrEP_CT Event-Driven Prep For age "&amp;$Z$20&amp;" "&amp;$AA$21&amp;" Should not be more than Total PrEP_CT"&amp;CHAR(10),""))</f>
        <v/>
      </c>
      <c r="AL176" s="1148"/>
      <c r="AM176" s="31"/>
      <c r="AN176" s="126"/>
      <c r="AO176" s="13"/>
      <c r="AP176" s="74"/>
      <c r="AQ176" s="75"/>
    </row>
    <row r="177" spans="1:43" ht="32.65" customHeight="1" thickBot="1" x14ac:dyDescent="0.45">
      <c r="A177" s="1120" t="s">
        <v>1249</v>
      </c>
      <c r="B177" s="1118"/>
      <c r="C177" s="1116"/>
      <c r="D177" s="1116"/>
      <c r="E177" s="1116"/>
      <c r="F177" s="1116"/>
      <c r="G177" s="1116"/>
      <c r="H177" s="1116"/>
      <c r="I177" s="1116"/>
      <c r="J177" s="1116"/>
      <c r="K177" s="1116"/>
      <c r="L177" s="1116"/>
      <c r="M177" s="1116"/>
      <c r="N177" s="1116"/>
      <c r="O177" s="1116"/>
      <c r="P177" s="1116"/>
      <c r="Q177" s="1116"/>
      <c r="R177" s="1116"/>
      <c r="S177" s="1116"/>
      <c r="T177" s="1116"/>
      <c r="U177" s="1116"/>
      <c r="V177" s="1116"/>
      <c r="W177" s="1116"/>
      <c r="X177" s="1116"/>
      <c r="Y177" s="1116"/>
      <c r="Z177" s="1116"/>
      <c r="AA177" s="1116"/>
      <c r="AB177" s="1117"/>
      <c r="AC177" s="1117"/>
      <c r="AD177" s="1117"/>
      <c r="AE177" s="1117"/>
      <c r="AF177" s="1117"/>
      <c r="AG177" s="1117"/>
      <c r="AH177" s="1117"/>
      <c r="AI177" s="1117"/>
      <c r="AJ177" s="1118"/>
      <c r="AK177" s="1116"/>
      <c r="AL177" s="1118"/>
      <c r="AM177" s="1118"/>
      <c r="AN177" s="1119"/>
      <c r="AO177" s="13">
        <v>97</v>
      </c>
      <c r="AP177" s="74"/>
      <c r="AQ177" s="75"/>
    </row>
    <row r="178" spans="1:43" ht="26.25" customHeight="1" x14ac:dyDescent="0.4">
      <c r="A178" s="1164" t="s">
        <v>36</v>
      </c>
      <c r="B178" s="1160" t="s">
        <v>321</v>
      </c>
      <c r="C178" s="1162" t="s">
        <v>305</v>
      </c>
      <c r="D178" s="1139" t="s">
        <v>0</v>
      </c>
      <c r="E178" s="1139"/>
      <c r="F178" s="1139" t="s">
        <v>1</v>
      </c>
      <c r="G178" s="1139"/>
      <c r="H178" s="1139" t="s">
        <v>2</v>
      </c>
      <c r="I178" s="1139"/>
      <c r="J178" s="1139" t="s">
        <v>3</v>
      </c>
      <c r="K178" s="1139"/>
      <c r="L178" s="1139" t="s">
        <v>4</v>
      </c>
      <c r="M178" s="1139"/>
      <c r="N178" s="1139" t="s">
        <v>5</v>
      </c>
      <c r="O178" s="1139"/>
      <c r="P178" s="1139" t="s">
        <v>6</v>
      </c>
      <c r="Q178" s="1139"/>
      <c r="R178" s="1139" t="s">
        <v>7</v>
      </c>
      <c r="S178" s="1139"/>
      <c r="T178" s="1139" t="s">
        <v>8</v>
      </c>
      <c r="U178" s="1139"/>
      <c r="V178" s="1139" t="s">
        <v>23</v>
      </c>
      <c r="W178" s="1139"/>
      <c r="X178" s="1139" t="s">
        <v>24</v>
      </c>
      <c r="Y178" s="1139"/>
      <c r="Z178" s="1139" t="s">
        <v>9</v>
      </c>
      <c r="AA178" s="1140"/>
      <c r="AB178" s="1144"/>
      <c r="AC178" s="1145"/>
      <c r="AD178" s="1145"/>
      <c r="AE178" s="1145"/>
      <c r="AF178" s="1145"/>
      <c r="AG178" s="1145"/>
      <c r="AH178" s="1145"/>
      <c r="AI178" s="1404"/>
      <c r="AJ178" s="1152" t="s">
        <v>19</v>
      </c>
      <c r="AK178" s="1154" t="s">
        <v>354</v>
      </c>
      <c r="AL178" s="1137" t="s">
        <v>360</v>
      </c>
      <c r="AM178" s="1132" t="s">
        <v>361</v>
      </c>
      <c r="AN178" s="1127" t="s">
        <v>361</v>
      </c>
      <c r="AO178" s="13">
        <v>98</v>
      </c>
      <c r="AP178" s="74"/>
      <c r="AQ178" s="75"/>
    </row>
    <row r="179" spans="1:43" ht="27" customHeight="1" thickBot="1" x14ac:dyDescent="0.45">
      <c r="A179" s="1165"/>
      <c r="B179" s="1161"/>
      <c r="C179" s="1231"/>
      <c r="D179" s="68" t="s">
        <v>10</v>
      </c>
      <c r="E179" s="68" t="s">
        <v>11</v>
      </c>
      <c r="F179" s="68" t="s">
        <v>10</v>
      </c>
      <c r="G179" s="68" t="s">
        <v>11</v>
      </c>
      <c r="H179" s="68" t="s">
        <v>10</v>
      </c>
      <c r="I179" s="68" t="s">
        <v>11</v>
      </c>
      <c r="J179" s="68" t="s">
        <v>10</v>
      </c>
      <c r="K179" s="68" t="s">
        <v>11</v>
      </c>
      <c r="L179" s="68" t="s">
        <v>10</v>
      </c>
      <c r="M179" s="68" t="s">
        <v>11</v>
      </c>
      <c r="N179" s="68" t="s">
        <v>10</v>
      </c>
      <c r="O179" s="68" t="s">
        <v>11</v>
      </c>
      <c r="P179" s="68" t="s">
        <v>10</v>
      </c>
      <c r="Q179" s="68" t="s">
        <v>11</v>
      </c>
      <c r="R179" s="68" t="s">
        <v>10</v>
      </c>
      <c r="S179" s="68" t="s">
        <v>11</v>
      </c>
      <c r="T179" s="68" t="s">
        <v>10</v>
      </c>
      <c r="U179" s="68" t="s">
        <v>11</v>
      </c>
      <c r="V179" s="68" t="s">
        <v>10</v>
      </c>
      <c r="W179" s="68" t="s">
        <v>11</v>
      </c>
      <c r="X179" s="68" t="s">
        <v>10</v>
      </c>
      <c r="Y179" s="68" t="s">
        <v>11</v>
      </c>
      <c r="Z179" s="68" t="s">
        <v>10</v>
      </c>
      <c r="AA179" s="357" t="s">
        <v>11</v>
      </c>
      <c r="AB179" s="359"/>
      <c r="AC179" s="360"/>
      <c r="AD179" s="360"/>
      <c r="AE179" s="360"/>
      <c r="AF179" s="360"/>
      <c r="AG179" s="360"/>
      <c r="AH179" s="360"/>
      <c r="AI179" s="361"/>
      <c r="AJ179" s="1153"/>
      <c r="AK179" s="1155"/>
      <c r="AL179" s="1138"/>
      <c r="AM179" s="1132"/>
      <c r="AN179" s="1128"/>
      <c r="AO179" s="13">
        <v>99</v>
      </c>
      <c r="AP179" s="74"/>
      <c r="AQ179" s="75"/>
    </row>
    <row r="180" spans="1:43" ht="33.4" customHeight="1" thickBot="1" x14ac:dyDescent="0.45">
      <c r="A180" s="1120" t="s">
        <v>1244</v>
      </c>
      <c r="B180" s="1118"/>
      <c r="C180" s="1116"/>
      <c r="D180" s="1116"/>
      <c r="E180" s="1116"/>
      <c r="F180" s="1116"/>
      <c r="G180" s="1116"/>
      <c r="H180" s="1116"/>
      <c r="I180" s="1116"/>
      <c r="J180" s="1116"/>
      <c r="K180" s="1116"/>
      <c r="L180" s="1116"/>
      <c r="M180" s="1116"/>
      <c r="N180" s="1116"/>
      <c r="O180" s="1116"/>
      <c r="P180" s="1116"/>
      <c r="Q180" s="1116"/>
      <c r="R180" s="1116"/>
      <c r="S180" s="1116"/>
      <c r="T180" s="1116"/>
      <c r="U180" s="1116"/>
      <c r="V180" s="1116"/>
      <c r="W180" s="1116"/>
      <c r="X180" s="1116"/>
      <c r="Y180" s="1116"/>
      <c r="Z180" s="1116"/>
      <c r="AA180" s="1116"/>
      <c r="AB180" s="1117"/>
      <c r="AC180" s="1117"/>
      <c r="AD180" s="1117"/>
      <c r="AE180" s="1117"/>
      <c r="AF180" s="1117"/>
      <c r="AG180" s="1117"/>
      <c r="AH180" s="1117"/>
      <c r="AI180" s="1117"/>
      <c r="AJ180" s="1118"/>
      <c r="AK180" s="1116"/>
      <c r="AL180" s="1118"/>
      <c r="AM180" s="1118"/>
      <c r="AN180" s="1119"/>
      <c r="AO180" s="13">
        <v>97</v>
      </c>
      <c r="AP180" s="74"/>
      <c r="AQ180" s="75"/>
    </row>
    <row r="181" spans="1:43" s="61" customFormat="1" ht="38.450000000000003" customHeight="1" thickBot="1" x14ac:dyDescent="0.45">
      <c r="A181" s="873" t="s">
        <v>1203</v>
      </c>
      <c r="B181" s="69" t="s">
        <v>1203</v>
      </c>
      <c r="C181" s="867" t="s">
        <v>1208</v>
      </c>
      <c r="D181" s="138"/>
      <c r="E181" s="72"/>
      <c r="F181" s="72"/>
      <c r="G181" s="72"/>
      <c r="H181" s="72"/>
      <c r="I181" s="72"/>
      <c r="J181" s="72"/>
      <c r="K181" s="72"/>
      <c r="L181" s="72"/>
      <c r="M181" s="72"/>
      <c r="N181" s="72"/>
      <c r="O181" s="72"/>
      <c r="P181" s="72"/>
      <c r="Q181" s="72"/>
      <c r="R181" s="72"/>
      <c r="S181" s="72"/>
      <c r="T181" s="72"/>
      <c r="U181" s="72"/>
      <c r="V181" s="72"/>
      <c r="W181" s="72"/>
      <c r="X181" s="72"/>
      <c r="Y181" s="72"/>
      <c r="Z181" s="72"/>
      <c r="AA181" s="306"/>
      <c r="AB181" s="375"/>
      <c r="AC181" s="345"/>
      <c r="AD181" s="345"/>
      <c r="AE181" s="345"/>
      <c r="AF181" s="345"/>
      <c r="AG181" s="345"/>
      <c r="AH181" s="345"/>
      <c r="AI181" s="302"/>
      <c r="AJ181" s="52">
        <f>SUM(D181:AA181)</f>
        <v>0</v>
      </c>
      <c r="AK181" s="139"/>
      <c r="AL181" s="1121" t="str">
        <f>CONCATENATE(AK182,AK183,AK184,AK185,AK186,AK187,AK188,AK189,AK190,AK191,AK192,AK193,AK181)</f>
        <v/>
      </c>
      <c r="AM181" s="140"/>
      <c r="AN181" s="588"/>
      <c r="AO181" s="13">
        <v>100</v>
      </c>
      <c r="AP181" s="80"/>
      <c r="AQ181" s="75"/>
    </row>
    <row r="182" spans="1:43" s="61" customFormat="1" ht="38.450000000000003" customHeight="1" x14ac:dyDescent="0.4">
      <c r="A182" s="1109" t="s">
        <v>1216</v>
      </c>
      <c r="B182" s="69" t="s">
        <v>1218</v>
      </c>
      <c r="C182" s="867" t="s">
        <v>190</v>
      </c>
      <c r="D182" s="138"/>
      <c r="E182" s="72"/>
      <c r="F182" s="72"/>
      <c r="G182" s="72"/>
      <c r="H182" s="72"/>
      <c r="I182" s="72"/>
      <c r="J182" s="72"/>
      <c r="K182" s="72"/>
      <c r="L182" s="72"/>
      <c r="M182" s="72"/>
      <c r="N182" s="72"/>
      <c r="O182" s="72"/>
      <c r="P182" s="72"/>
      <c r="Q182" s="72"/>
      <c r="R182" s="72"/>
      <c r="S182" s="72"/>
      <c r="T182" s="72"/>
      <c r="U182" s="72"/>
      <c r="V182" s="72"/>
      <c r="W182" s="72"/>
      <c r="X182" s="72"/>
      <c r="Y182" s="72"/>
      <c r="Z182" s="72"/>
      <c r="AA182" s="306"/>
      <c r="AB182" s="375"/>
      <c r="AC182" s="345"/>
      <c r="AD182" s="345"/>
      <c r="AE182" s="345"/>
      <c r="AF182" s="345"/>
      <c r="AG182" s="345"/>
      <c r="AH182" s="345"/>
      <c r="AI182" s="302"/>
      <c r="AJ182" s="52">
        <f>SUM(D182:AA182)</f>
        <v>0</v>
      </c>
      <c r="AK182" s="139" t="str">
        <f>CONCATENATE(IF(D182&lt;&gt;SUM(D184,D186,D188,D190,D192)," *  Iniated On IPT New ON ART for Age "&amp;D20&amp;" "&amp;D21&amp;" is not equal to the sum of  Completed IPT New on ART+ Discontinued New on ART + LTFU New on ART + Died New on ART + Transferred Out New on ART)"&amp;CHAR(10),""),IF(E182&lt;&gt;SUM(E184,E186,E188,E190,E192)," *  Iniated On IPT New ON ART for Age "&amp;D20&amp;" "&amp;E21&amp;" is not equal to the sum of F03-03+F03-05+F03-07+F03-09+F03-11"&amp;CHAR(10),""),IF(F182&lt;&gt;SUM(F184,F186,F188,F190,F192)," *  Iniated On IPT New ON ART for Age "&amp;F20&amp;" "&amp;F21&amp;" is not equal to the sum of  Completed IPT New on ART+ Discontinued New on ART + LTFU New on ART + Died New on ART + Transferred Out New on ART)"&amp;CHAR(10),""),IF(G182&lt;&gt;SUM(G184,G186,G188,G190,G192)," *  Iniated On IPT New ON ART for Age "&amp;F20&amp;" "&amp;G21&amp;" is not equal to the sum of F03-03+F03-05+F03-07+F03-09+F03-11"&amp;CHAR(10),""),IF(H182&lt;&gt;SUM(H184,H186,H188,H190,H192)," *  Iniated On IPT New ON ART for Age "&amp;H20&amp;" "&amp;H21&amp;" is not equal to the sum of  Completed IPT New on ART+ Discontinued New on ART + LTFU New on ART + Died New on ART + Transferred Out New on ART)"&amp;CHAR(10),""),IF(I182&lt;&gt;SUM(I184,I186,I188,I190,I192)," *  Iniated On IPT New ON ART for Age "&amp;H20&amp;" "&amp;I21&amp;" is not equal to the sum of F03-03+F03-05+F03-07+F03-09+F03-11"&amp;CHAR(10),""),IF(J182&lt;&gt;SUM(J184,J186,J188,J190,J192)," *  Iniated On IPT New ON ART for Age "&amp;J20&amp;" "&amp;J21&amp;" is not equal to the sum of  Completed IPT New on ART+ Discontinued New on ART + LTFU New on ART + Died New on ART + Transferred Out New on ART)"&amp;CHAR(10),""),IF(K182&lt;&gt;SUM(K184,K186,K188,K190,K192)," *  Iniated On IPT New ON ART for Age "&amp;J20&amp;" "&amp;K21&amp;" is not equal to the sum of F03-03+F03-05+F03-07+F03-09+F03-11"&amp;CHAR(10),""),IF(L182&lt;&gt;SUM(L184,L186,L188,L190,L192)," *  Iniated On IPT New ON ART for Age "&amp;L20&amp;" "&amp;L21&amp;" is not equal to the sum of  Completed IPT New on ART+ Discontinued New on ART + LTFU New on ART + Died New on ART + Transferred Out New on ART)"&amp;CHAR(10),""),IF(M182&lt;&gt;SUM(M184,M186,M188,M190,M192)," *  Iniated On IPT New ON ART for Age "&amp;L20&amp;" "&amp;M21&amp;" is not equal to the sum of F03-03+F03-05+F03-07+F03-09+F03-11"&amp;CHAR(10),""),IF(N182&lt;&gt;SUM(N184,N186,N188,N190,N192)," *  Iniated On IPT New ON ART for Age "&amp;N20&amp;" "&amp;N21&amp;" is not equal to the sum of  Completed IPT New on ART+ Discontinued New on ART + LTFU New on ART + Died New on ART + Transferred Out New on ART)"&amp;CHAR(10),""),IF(O182&lt;&gt;SUM(O184,O186,O188,O190,O192)," *  Iniated On IPT New ON ART for Age "&amp;N20&amp;" "&amp;O21&amp;" is not equal to the sum of F03-03+F03-05+F03-07+F03-09+F03-11"&amp;CHAR(10),""),IF(P182&lt;&gt;SUM(P184,P186,P188,P190,P192)," *  Iniated On IPT New ON ART for Age "&amp;P20&amp;" "&amp;P21&amp;" is not equal to the sum of  Completed IPT New on ART+ Discontinued New on ART + LTFU New on ART + Died New on ART + Transferred Out New on ART)"&amp;CHAR(10),""),IF(Q182&lt;&gt;SUM(Q184,Q186,Q188,Q190,Q192)," *  Iniated On IPT New ON ART for Age "&amp;P20&amp;" "&amp;Q21&amp;" is not equal to the sum of F03-03+F03-05+F03-07+F03-09+F03-11"&amp;CHAR(10),""),IF(R182&lt;&gt;SUM(R184,R186,R188,R190,R192)," *  Iniated On IPT New ON ART for Age "&amp;R20&amp;" "&amp;R21&amp;" is not equal to the sum of  Completed IPT New on ART+ Discontinued New on ART + LTFU New on ART + Died New on ART + Transferred Out New on ART)"&amp;CHAR(10),""),IF(S182&lt;&gt;SUM(S184,S186,S188,S190,S192)," *  Iniated On IPT New ON ART for Age "&amp;R20&amp;" "&amp;S21&amp;" is not equal to the sum of F03-03+F03-05+F03-07+F03-09+F03-11"&amp;CHAR(10),""),IF(T182&lt;&gt;SUM(T184,T186,T188,T190,T192)," *  Iniated On IPT New ON ART for Age "&amp;T20&amp;" "&amp;T21&amp;" is not equal to the sum of  Completed IPT New on ART+ Discontinued New on ART + LTFU New on ART + Died New on ART + Transferred Out New on ART)"&amp;CHAR(10),""),IF(U182&lt;&gt;SUM(U184,U186,U188,U190,U192)," *  Iniated On IPT New ON ART for Age "&amp;T20&amp;" "&amp;U21&amp;" is not equal to the sum of F03-03+F03-05+F03-07+F03-09+F03-11"&amp;CHAR(10),""),IF(V182&lt;&gt;SUM(V184,V186,V188,V190,V192)," *  Iniated On IPT New ON ART for Age "&amp;V20&amp;" "&amp;V21&amp;" is not equal to the sum of  Completed IPT New on ART+ Discontinued New on ART + LTFU New on ART + Died New on ART + Transferred Out New on ART)"&amp;CHAR(10),""),IF(W182&lt;&gt;SUM(W184,W186,W188,W190,W192)," *  Iniated On IPT New ON ART for Age "&amp;V20&amp;" "&amp;W21&amp;" is not equal to the sum of F03-03+F03-05+F03-07+F03-09+F03-11"&amp;CHAR(10),""),IF(X182&lt;&gt;SUM(X184,X186,X188,X190,X192)," *  Iniated On IPT New ON ART for Age "&amp;X20&amp;" "&amp;X21&amp;" is not equal to the sum of  Completed IPT New on ART+ Discontinued New on ART + LTFU New on ART + Died New on ART + Transferred Out New on ART)"&amp;CHAR(10),""),IF(Y182&lt;&gt;SUM(Y184,Y186,Y188,Y190,Y192)," *  Iniated On IPT New ON ART for Age "&amp;X20&amp;" "&amp;Y21&amp;" is not equal to the sum of F03-03+F03-05+F03-07+F03-09+F03-11"&amp;CHAR(10),""),IF(Z182&lt;&gt;SUM(Z184,Z186,Z188,Z190,Z192)," *  Iniated On IPT New ON ART for Age "&amp;Z20&amp;" "&amp;Z21&amp;" is not equal to the sum of  Completed IPT New on ART+ Discontinued New on ART + LTFU New on ART + Died New on ART + Transferred Out New on ART)"&amp;CHAR(10),""),IF(AA182&lt;&gt;SUM(AA184,AA186,AA188,AA190,AA192)," *  Iniated On IPT New ON ART for Age "&amp;Z20&amp;" "&amp;AA21&amp;" is not equal to the sum of  Completed IPT New on ART+ Discontinued New on ART + LTFU New on ART + Died New on ART + Transferred Out New on ART)"&amp;CHAR(10),""))</f>
        <v/>
      </c>
      <c r="AL182" s="1122"/>
      <c r="AM182" s="140"/>
      <c r="AN182" s="1133" t="str">
        <f>CONCATENATE(AM182,AM183,AM184,AM185,AM186,AM187,AM188,AM189,AM190,AM191,AM192,AM193)</f>
        <v/>
      </c>
      <c r="AO182" s="13">
        <v>100</v>
      </c>
      <c r="AP182" s="80"/>
      <c r="AQ182" s="75"/>
    </row>
    <row r="183" spans="1:43" s="61" customFormat="1" ht="38.450000000000003" customHeight="1" thickBot="1" x14ac:dyDescent="0.45">
      <c r="A183" s="1110"/>
      <c r="B183" s="87" t="s">
        <v>1219</v>
      </c>
      <c r="C183" s="868" t="s">
        <v>191</v>
      </c>
      <c r="D183" s="141"/>
      <c r="E183" s="89"/>
      <c r="F183" s="89"/>
      <c r="G183" s="89"/>
      <c r="H183" s="89"/>
      <c r="I183" s="89"/>
      <c r="J183" s="89"/>
      <c r="K183" s="89"/>
      <c r="L183" s="89"/>
      <c r="M183" s="89"/>
      <c r="N183" s="89"/>
      <c r="O183" s="89"/>
      <c r="P183" s="89"/>
      <c r="Q183" s="89"/>
      <c r="R183" s="89"/>
      <c r="S183" s="89"/>
      <c r="T183" s="89"/>
      <c r="U183" s="89"/>
      <c r="V183" s="89"/>
      <c r="W183" s="89"/>
      <c r="X183" s="89"/>
      <c r="Y183" s="89"/>
      <c r="Z183" s="89"/>
      <c r="AA183" s="309"/>
      <c r="AB183" s="375"/>
      <c r="AC183" s="345"/>
      <c r="AD183" s="345"/>
      <c r="AE183" s="345"/>
      <c r="AF183" s="345"/>
      <c r="AG183" s="345"/>
      <c r="AH183" s="345"/>
      <c r="AI183" s="302"/>
      <c r="AJ183" s="192">
        <f t="shared" ref="AJ183:AJ193" si="54">SUM(D183:AA183)</f>
        <v>0</v>
      </c>
      <c r="AK183" s="116" t="str">
        <f>CONCATENATE(IF(D183&lt;&gt;SUM(D185,D187,D189,D191,D193)," * F03-02 for Age "&amp;D20&amp;" "&amp;D21&amp;" is not equal to the sum of (F03-04+F03-06+F03-08+F03-10+F03-12)"&amp;CHAR(10),""),IF(E183&lt;&gt;SUM(E185,E187,E189,E191,E193)," * F03-02 for Age "&amp;D20&amp;" "&amp;E21&amp;" is not equal to the sum of F03-04+F03-06+F03-08+F03-10+F03-12"&amp;CHAR(10),""),IF(F183&lt;&gt;SUM(F185,F187,F189,F191,F193)," * F03-02 for Age "&amp;F20&amp;" "&amp;F21&amp;" is not equal to the sum of (F03-04+F03-06+F03-08+F03-10+F03-12)"&amp;CHAR(10),""),IF(G183&lt;&gt;SUM(G185,G187,G189,G191,G193)," * F03-02 for Age "&amp;F20&amp;" "&amp;G21&amp;" is not equal to the sum of F03-04+F03-06+F03-08+F03-10+F03-12"&amp;CHAR(10),""),IF(H183&lt;&gt;SUM(H185,H187,H189,H191,H193)," * F03-02 for Age "&amp;H20&amp;" "&amp;H21&amp;" is not equal to the sum of (F03-04+F03-06+F03-08+F03-10+F03-12)"&amp;CHAR(10),""),IF(I183&lt;&gt;SUM(I185,I187,I189,I191,I193)," * F03-02 for Age "&amp;H20&amp;" "&amp;I21&amp;" is not equal to the sum of F03-04+F03-06+F03-08+F03-10+F03-12"&amp;CHAR(10),""),IF(J183&lt;&gt;SUM(J185,J187,J189,J191,J193)," * F03-02 for Age "&amp;J20&amp;" "&amp;J21&amp;" is not equal to the sum of (F03-04+F03-06+F03-08+F03-10+F03-12)"&amp;CHAR(10),""),IF(K183&lt;&gt;SUM(K185,K187,K189,K191,K193)," * F03-02 for Age "&amp;J20&amp;" "&amp;K21&amp;" is not equal to the sum of F03-04+F03-06+F03-08+F03-10+F03-12"&amp;CHAR(10),""),IF(L183&lt;&gt;SUM(L185,L187,L189,L191,L193)," * F03-02 for Age "&amp;L20&amp;" "&amp;L21&amp;" is not equal to the sum of (F03-04+F03-06+F03-08+F03-10+F03-12)"&amp;CHAR(10),""),IF(M183&lt;&gt;SUM(M185,M187,M189,M191,M193)," * F03-02 for Age "&amp;L20&amp;" "&amp;M21&amp;" is not equal to the sum of F03-04+F03-06+F03-08+F03-10+F03-12"&amp;CHAR(10),""),IF(N183&lt;&gt;SUM(N185,N187,N189,N191,N193)," * F03-02 for Age "&amp;N20&amp;" "&amp;N21&amp;" is not equal to the sum of (F03-04+F03-06+F03-08+F03-10+F03-12)"&amp;CHAR(10),""),IF(O183&lt;&gt;SUM(O185,O187,O189,O191,O193)," * F03-02 for Age "&amp;N20&amp;" "&amp;O21&amp;" is not equal to the sum of F03-04+F03-06+F03-08+F03-10+F03-12"&amp;CHAR(10),""),IF(P183&lt;&gt;SUM(P185,P187,P189,P191,P193)," * F03-02 for Age "&amp;P20&amp;" "&amp;P21&amp;" is not equal to the sum of (F03-04+F03-06+F03-08+F03-10+F03-12)"&amp;CHAR(10),""),IF(Q183&lt;&gt;SUM(Q185,Q187,Q189,Q191,Q193)," * F03-02 for Age "&amp;P20&amp;" "&amp;Q21&amp;" is not equal to the sum of F03-04+F03-06+F03-08+F03-10+F03-12"&amp;CHAR(10),""),IF(R183&lt;&gt;SUM(R185,R187,R189,R191,R193)," * F03-02 for Age "&amp;R20&amp;" "&amp;R21&amp;" is not equal to the sum of (F03-04+F03-06+F03-08+F03-10+F03-12)"&amp;CHAR(10),""),IF(S183&lt;&gt;SUM(S185,S187,S189,S191,S193)," * F03-02 for Age "&amp;R20&amp;" "&amp;S21&amp;" is not equal to the sum of F03-04+F03-06+F03-08+F03-10+F03-12"&amp;CHAR(10),""),IF(T183&lt;&gt;SUM(T185,T187,T189,T191,T193)," * F03-02 for Age "&amp;T20&amp;" "&amp;T21&amp;" is not equal to the sum of (F03-04+F03-06+F03-08+F03-10+F03-12)"&amp;CHAR(10),""),IF(U183&lt;&gt;SUM(U185,U187,U189,U191,U193)," * F03-02 for Age "&amp;T20&amp;" "&amp;U21&amp;" is not equal to the sum of F03-04+F03-06+F03-08+F03-10+F03-12"&amp;CHAR(10),""),IF(V183&lt;&gt;SUM(V185,V187,V189,V191,V193)," * F03-02 for Age "&amp;V20&amp;" "&amp;V21&amp;" is not equal to the sum of (F03-04+F03-06+F03-08+F03-10+F03-12)"&amp;CHAR(10),""),IF(W183&lt;&gt;SUM(W185,W187,W189,W191,W193)," * F03-02 for Age "&amp;V20&amp;" "&amp;W21&amp;" is not equal to the sum of F03-04+F03-06+F03-08+F03-10+F03-12"&amp;CHAR(10),""),IF(X183&lt;&gt;SUM(X185,X187,X189,X191,X193)," * F03-02 for Age "&amp;X20&amp;" "&amp;X21&amp;" is not equal to the sum of (F03-04+F03-06+F03-08+F03-10+F03-12)"&amp;CHAR(10),""),IF(Y183&lt;&gt;SUM(Y185,Y187,Y189,Y191,Y193)," * F03-02 for Age "&amp;X20&amp;" "&amp;Y21&amp;" is not equal to the sum of F03-04+F03-06+F03-08+F03-10+F03-12"&amp;CHAR(10),""),IF(Z183&lt;&gt;SUM(Z185,Z187,Z189,Z191,Z193)," * F03-02 for Age "&amp;Z20&amp;" "&amp;Z21&amp;" is not equal to the sum of (F03-04+F03-06+F03-08+F03-10+F03-12)"&amp;CHAR(10),""),IF(AA183&lt;&gt;SUM(AA185,AA187,AA189,AA191,AA193)," * F03-02 for Age "&amp;Z20&amp;" "&amp;AA21&amp;" is not equal to the sum of (F03-04+F03-06+F03-08+F03-10+F03-12)"&amp;CHAR(10),""))</f>
        <v/>
      </c>
      <c r="AL183" s="1122"/>
      <c r="AM183" s="60"/>
      <c r="AN183" s="1134"/>
      <c r="AO183" s="13">
        <v>101</v>
      </c>
      <c r="AP183" s="80"/>
      <c r="AQ183" s="75"/>
    </row>
    <row r="184" spans="1:43" ht="38.450000000000003" customHeight="1" x14ac:dyDescent="0.4">
      <c r="A184" s="1136" t="s">
        <v>1217</v>
      </c>
      <c r="B184" s="91" t="s">
        <v>1220</v>
      </c>
      <c r="C184" s="558" t="s">
        <v>192</v>
      </c>
      <c r="D184" s="142"/>
      <c r="E184" s="143"/>
      <c r="F184" s="143"/>
      <c r="G184" s="143"/>
      <c r="H184" s="143"/>
      <c r="I184" s="143"/>
      <c r="J184" s="143"/>
      <c r="K184" s="143"/>
      <c r="L184" s="143"/>
      <c r="M184" s="143"/>
      <c r="N184" s="143"/>
      <c r="O184" s="143"/>
      <c r="P184" s="143"/>
      <c r="Q184" s="143"/>
      <c r="R184" s="143"/>
      <c r="S184" s="143"/>
      <c r="T184" s="143"/>
      <c r="U184" s="143"/>
      <c r="V184" s="143"/>
      <c r="W184" s="143"/>
      <c r="X184" s="143"/>
      <c r="Y184" s="143"/>
      <c r="Z184" s="143"/>
      <c r="AA184" s="324"/>
      <c r="AB184" s="375"/>
      <c r="AC184" s="345"/>
      <c r="AD184" s="345"/>
      <c r="AE184" s="345"/>
      <c r="AF184" s="345"/>
      <c r="AG184" s="345"/>
      <c r="AH184" s="345"/>
      <c r="AI184" s="302"/>
      <c r="AJ184" s="188">
        <f t="shared" si="54"/>
        <v>0</v>
      </c>
      <c r="AK184" s="116" t="str">
        <f>CONCATENATE(IF(D184&gt;D182," * F03-03 for Age "&amp;D20&amp;" "&amp;D21&amp;" is more than F03-01"&amp;CHAR(10),""),IF(E184&gt;E182," * F03-03 for Age "&amp;D20&amp;" "&amp;E21&amp;" is more than F03-01"&amp;CHAR(10),""),IF(F184&gt;F182," * F03-03 for Age "&amp;F20&amp;" "&amp;F21&amp;" is more than F03-01"&amp;CHAR(10),""),IF(G184&gt;G182," * F03-03 for Age "&amp;F20&amp;" "&amp;G21&amp;" is more than F03-01"&amp;CHAR(10),""),IF(H184&gt;H182," * F03-03 for Age "&amp;H20&amp;" "&amp;H21&amp;" is more than F03-01"&amp;CHAR(10),""),IF(I184&gt;I182," * F03-03 for Age "&amp;H20&amp;" "&amp;I21&amp;" is more than F03-01"&amp;CHAR(10),""),IF(J184&gt;J182," * F03-03 for Age "&amp;J20&amp;" "&amp;J21&amp;" is more than F03-01"&amp;CHAR(10),""),IF(K184&gt;K182," * F03-03 for Age "&amp;J20&amp;" "&amp;K21&amp;" is more than F03-01"&amp;CHAR(10),""),IF(L184&gt;L182," * F03-03 for Age "&amp;L20&amp;" "&amp;L21&amp;" is more than F03-01"&amp;CHAR(10),""),IF(M184&gt;M182," * F03-03 for Age "&amp;L20&amp;" "&amp;M21&amp;" is more than F03-01"&amp;CHAR(10),""),IF(N184&gt;N182," * F03-03 for Age "&amp;N20&amp;" "&amp;N21&amp;" is more than F03-01"&amp;CHAR(10),""),IF(O184&gt;O182," * F03-03 for Age "&amp;N20&amp;" "&amp;O21&amp;" is more than F03-01"&amp;CHAR(10),""),IF(P184&gt;P182," * F03-03 for Age "&amp;P20&amp;" "&amp;P21&amp;" is more than F03-01"&amp;CHAR(10),""),IF(Q184&gt;Q182," * F03-03 for Age "&amp;P20&amp;" "&amp;Q21&amp;" is more than F03-01"&amp;CHAR(10),""),IF(R184&gt;R182," * F03-03 for Age "&amp;R20&amp;" "&amp;R21&amp;" is more than F03-01"&amp;CHAR(10),""),IF(S184&gt;S182," * F03-03 for Age "&amp;R20&amp;" "&amp;S21&amp;" is more than F03-01"&amp;CHAR(10),""),IF(T184&gt;T182," * F03-03 for Age "&amp;T20&amp;" "&amp;T21&amp;" is more than F03-01"&amp;CHAR(10),""),IF(U184&gt;U182," * F03-03 for Age "&amp;T20&amp;" "&amp;U21&amp;" is more than F03-01"&amp;CHAR(10),""),IF(V184&gt;V182," * F03-03 for Age "&amp;V20&amp;" "&amp;V21&amp;" is more than F03-01"&amp;CHAR(10),""),IF(W184&gt;W182," * F03-03 for Age "&amp;V20&amp;" "&amp;W21&amp;" is more than F03-01"&amp;CHAR(10),""),IF(X184&gt;X182," * F03-03 for Age "&amp;X20&amp;" "&amp;X21&amp;" is more than F03-01"&amp;CHAR(10),""),IF(Y184&gt;Y182," * F03-03 for Age "&amp;X20&amp;" "&amp;Y21&amp;" is more than F03-01"&amp;CHAR(10),""),IF(Z184&gt;Z182," * F03-03 for Age "&amp;Z20&amp;" "&amp;Z21&amp;" is more than F03-01"&amp;CHAR(10),""),IF(AA184&gt;AA182," * F03-03 for Age "&amp;Z20&amp;" "&amp;AA21&amp;" is more than F03-01"&amp;CHAR(10),""))</f>
        <v/>
      </c>
      <c r="AL184" s="1122"/>
      <c r="AM184" s="31"/>
      <c r="AN184" s="1134"/>
      <c r="AO184" s="13">
        <v>102</v>
      </c>
      <c r="AP184" s="74"/>
      <c r="AQ184" s="75"/>
    </row>
    <row r="185" spans="1:43" ht="38.450000000000003" customHeight="1" thickBot="1" x14ac:dyDescent="0.45">
      <c r="A185" s="1110"/>
      <c r="B185" s="87" t="s">
        <v>1219</v>
      </c>
      <c r="C185" s="560" t="s">
        <v>193</v>
      </c>
      <c r="D185" s="144"/>
      <c r="E185" s="145"/>
      <c r="F185" s="145"/>
      <c r="G185" s="145"/>
      <c r="H185" s="145"/>
      <c r="I185" s="145"/>
      <c r="J185" s="145"/>
      <c r="K185" s="145"/>
      <c r="L185" s="145"/>
      <c r="M185" s="145"/>
      <c r="N185" s="145"/>
      <c r="O185" s="145"/>
      <c r="P185" s="145"/>
      <c r="Q185" s="145"/>
      <c r="R185" s="145"/>
      <c r="S185" s="145"/>
      <c r="T185" s="145"/>
      <c r="U185" s="145"/>
      <c r="V185" s="145"/>
      <c r="W185" s="145"/>
      <c r="X185" s="145"/>
      <c r="Y185" s="145"/>
      <c r="Z185" s="145"/>
      <c r="AA185" s="325"/>
      <c r="AB185" s="375"/>
      <c r="AC185" s="345"/>
      <c r="AD185" s="345"/>
      <c r="AE185" s="345"/>
      <c r="AF185" s="345"/>
      <c r="AG185" s="345"/>
      <c r="AH185" s="345"/>
      <c r="AI185" s="302"/>
      <c r="AJ185" s="192">
        <f t="shared" si="54"/>
        <v>0</v>
      </c>
      <c r="AK185" s="116" t="str">
        <f>CONCATENATE(IF(D185&gt;D183," * F03-04 for Age "&amp;D20&amp;" "&amp;D21&amp;" is more than F03-02"&amp;CHAR(10),""),IF(E185&gt;E183," * F03-04 for Age "&amp;D20&amp;" "&amp;E21&amp;" is more than F03-02"&amp;CHAR(10),""),IF(F185&gt;F183," * F03-04 for Age "&amp;F20&amp;" "&amp;F21&amp;" is more than F03-02"&amp;CHAR(10),""),IF(G185&gt;G183," * F03-04 for Age "&amp;F20&amp;" "&amp;G21&amp;" is more than F03-02"&amp;CHAR(10),""),IF(H185&gt;H183," * F03-04 for Age "&amp;H20&amp;" "&amp;H21&amp;" is more than F03-02"&amp;CHAR(10),""),IF(I185&gt;I183," * F03-04 for Age "&amp;H20&amp;" "&amp;I21&amp;" is more than F03-02"&amp;CHAR(10),""),IF(J185&gt;J183," * F03-04 for Age "&amp;J20&amp;" "&amp;J21&amp;" is more than F03-02"&amp;CHAR(10),""),IF(K185&gt;K183," * F03-04 for Age "&amp;J20&amp;" "&amp;K21&amp;" is more than F03-02"&amp;CHAR(10),""),IF(L185&gt;L183," * F03-04 for Age "&amp;L20&amp;" "&amp;L21&amp;" is more than F03-02"&amp;CHAR(10),""),IF(M185&gt;M183," * F03-04 for Age "&amp;L20&amp;" "&amp;M21&amp;" is more than F03-02"&amp;CHAR(10),""),IF(N185&gt;N183," * F03-04 for Age "&amp;N20&amp;" "&amp;N21&amp;" is more than F03-02"&amp;CHAR(10),""),IF(O185&gt;O183," * F03-04 for Age "&amp;N20&amp;" "&amp;O21&amp;" is more than F03-02"&amp;CHAR(10),""),IF(P185&gt;P183," * F03-04 for Age "&amp;P20&amp;" "&amp;P21&amp;" is more than F03-02"&amp;CHAR(10),""),IF(Q185&gt;Q183," * F03-04 for Age "&amp;P20&amp;" "&amp;Q21&amp;" is more than F03-02"&amp;CHAR(10),""),IF(R185&gt;R183," * F03-04 for Age "&amp;R20&amp;" "&amp;R21&amp;" is more than F03-02"&amp;CHAR(10),""),IF(S185&gt;S183," * F03-04 for Age "&amp;R20&amp;" "&amp;S21&amp;" is more than F03-02"&amp;CHAR(10),""),IF(T185&gt;T183," * F03-04 for Age "&amp;T20&amp;" "&amp;T21&amp;" is more than F03-02"&amp;CHAR(10),""),IF(U185&gt;U183," * F03-04 for Age "&amp;T20&amp;" "&amp;U21&amp;" is more than F03-02"&amp;CHAR(10),""),IF(V185&gt;V183," * F03-04 for Age "&amp;V20&amp;" "&amp;V21&amp;" is more than F03-02"&amp;CHAR(10),""),IF(W185&gt;W183," * F03-04 for Age "&amp;V20&amp;" "&amp;W21&amp;" is more than F03-02"&amp;CHAR(10),""),IF(X185&gt;X183," * F03-04 for Age "&amp;X20&amp;" "&amp;X21&amp;" is more than F03-02"&amp;CHAR(10),""),IF(Y185&gt;Y183," * F03-04 for Age "&amp;X20&amp;" "&amp;Y21&amp;" is more than F03-02"&amp;CHAR(10),""),IF(Z185&gt;Z183," * F03-04 for Age "&amp;Z20&amp;" "&amp;Z21&amp;" is more than F03-02"&amp;CHAR(10),""),IF(AA185&gt;AA183," * F03-04 for Age "&amp;Z20&amp;" "&amp;AA21&amp;" is more than F03-02"&amp;CHAR(10),""),IF(AJ185&gt;AJ183," * Total F03-04 is more than Total F03-02"&amp;CHAR(10),""))</f>
        <v/>
      </c>
      <c r="AL185" s="1122"/>
      <c r="AM185" s="31"/>
      <c r="AN185" s="1134"/>
      <c r="AO185" s="13">
        <v>103</v>
      </c>
      <c r="AP185" s="74"/>
      <c r="AQ185" s="75"/>
    </row>
    <row r="186" spans="1:43" s="14" customFormat="1" ht="38.450000000000003" customHeight="1" x14ac:dyDescent="0.4">
      <c r="A186" s="1111" t="s">
        <v>1240</v>
      </c>
      <c r="B186" s="146" t="s">
        <v>630</v>
      </c>
      <c r="C186" s="575" t="s">
        <v>194</v>
      </c>
      <c r="D186" s="147"/>
      <c r="E186" s="148"/>
      <c r="F186" s="148"/>
      <c r="G186" s="148"/>
      <c r="H186" s="148"/>
      <c r="I186" s="148"/>
      <c r="J186" s="148"/>
      <c r="K186" s="148"/>
      <c r="L186" s="148"/>
      <c r="M186" s="148"/>
      <c r="N186" s="148"/>
      <c r="O186" s="148"/>
      <c r="P186" s="148"/>
      <c r="Q186" s="148"/>
      <c r="R186" s="148"/>
      <c r="S186" s="148"/>
      <c r="T186" s="148"/>
      <c r="U186" s="148"/>
      <c r="V186" s="148"/>
      <c r="W186" s="148"/>
      <c r="X186" s="148"/>
      <c r="Y186" s="148"/>
      <c r="Z186" s="148"/>
      <c r="AA186" s="326"/>
      <c r="AB186" s="375"/>
      <c r="AC186" s="345"/>
      <c r="AD186" s="345"/>
      <c r="AE186" s="345"/>
      <c r="AF186" s="345"/>
      <c r="AG186" s="345"/>
      <c r="AH186" s="345"/>
      <c r="AI186" s="302"/>
      <c r="AJ186" s="188">
        <f t="shared" si="54"/>
        <v>0</v>
      </c>
      <c r="AK186" s="116" t="str">
        <f>CONCATENATE(IF(D359&lt;SUM(D182,D183)," * Total Initiated on IPT for Age "&amp;D20&amp;" "&amp;D21&amp;" is More than Current ON ART "&amp;CHAR(10),""),IF(E359&lt;SUM(E182,E183)," * Total Initiated on IPT for Age "&amp;D20&amp;" "&amp;E21&amp;" is More than Current ON ART"&amp;CHAR(10),""),IF(F359&lt;SUM(F182,F183)," * Total Initiated on IPT for Age "&amp;F20&amp;" "&amp;F21&amp;" is More than Current ON ART "&amp;CHAR(10),""),IF(G359&lt;SUM(G182,G183)," * Total Initiated on IPT for Age "&amp;F20&amp;" "&amp;G21&amp;" is More than Current ON ART"&amp;CHAR(10),""),IF(H359&lt;SUM(H182,H183)," * Total Initiated on IPT for Age "&amp;H20&amp;" "&amp;H21&amp;" is More than Current ON ART "&amp;CHAR(10),""),IF(I359&lt;SUM(I182,I183)," * Total Initiated on IPT for Age "&amp;H20&amp;" "&amp;I21&amp;" is More than Current ON ART"&amp;CHAR(10),""),IF(J359&lt;SUM(J182,J183)," * Total Initiated on IPT for Age "&amp;J20&amp;" "&amp;J21&amp;" is More than Current ON ART "&amp;CHAR(10),""),IF(K359&lt;SUM(K182,K183)," * Total Initiated on IPT for Age "&amp;J20&amp;" "&amp;K21&amp;" is More than Current ON ART"&amp;CHAR(10),""),IF(L359&lt;SUM(L182,L183)," * Total Initiated on IPT for Age "&amp;L20&amp;" "&amp;L21&amp;" is More than Current ON ART "&amp;CHAR(10),""),IF(M359&lt;SUM(M182,M183)," * Total Initiated on IPT for Age "&amp;L20&amp;" "&amp;M21&amp;" is More than Current ON ART"&amp;CHAR(10),""),IF(N359&lt;SUM(N182,N183)," * Total Initiated on IPT for Age "&amp;N20&amp;" "&amp;N21&amp;" is More than Current ON ART "&amp;CHAR(10),""),IF(O359&lt;SUM(O182,O183)," * Total Initiated on IPT for Age "&amp;N20&amp;" "&amp;O21&amp;" is More than Current ON ART"&amp;CHAR(10),""),IF(P359&lt;SUM(P182,P183)," * Total Initiated on IPT for Age "&amp;P20&amp;" "&amp;P21&amp;" is More than Current ON ART "&amp;CHAR(10),""),IF(Q359&lt;SUM(Q182,Q183)," * Total Initiated on IPT for Age "&amp;P20&amp;" "&amp;Q21&amp;" is More than Current ON ART"&amp;CHAR(10),""),IF(R359&lt;SUM(R182,R183)," * Total Initiated on IPT for Age "&amp;R20&amp;" "&amp;R21&amp;" is More than Current ON ART "&amp;CHAR(10),""),IF(S359&lt;SUM(S182,S183)," * Total Initiated on IPT for Age "&amp;R20&amp;" "&amp;S21&amp;" is More than Current ON ART"&amp;CHAR(10),""),IF(T359&lt;SUM(T182,T183)," * Total Initiated on IPT for Age "&amp;T20&amp;" "&amp;T21&amp;" is More than Current ON ART "&amp;CHAR(10),""),IF(U359&lt;SUM(U182,U183)," * Total Initiated on IPT for Age "&amp;T20&amp;" "&amp;U21&amp;" is More than Current ON ART"&amp;CHAR(10),""),IF(V359&lt;SUM(V182,V183)," * Total Initiated on IPT for Age "&amp;V20&amp;" "&amp;V21&amp;" is More than Current ON ART "&amp;CHAR(10),""),IF(W359&lt;SUM(W182,W183)," * Total Initiated on IPT for Age "&amp;V20&amp;" "&amp;W21&amp;" is More than Current ON ART"&amp;CHAR(10),""),IF(X359&lt;SUM(X182,X183)," * Total Initiated on IPT for Age "&amp;X20&amp;" "&amp;X21&amp;" is More than Current ON ART "&amp;CHAR(10),""),IF(Y359&lt;SUM(Y182,Y183)," * Total Initiated on IPT for Age "&amp;X20&amp;" "&amp;Y21&amp;" is More than Current ON ART"&amp;CHAR(10),""),IF(Z359&lt;SUM(Z182,Z183)," * Total Initiated on IPT for Age "&amp;Z20&amp;" "&amp;Z21&amp;" is More than Current ON ART "&amp;CHAR(10),""),IF(AA359&lt;SUM(AA182,AA183)," * Total Initiated on IPT for Age "&amp;Z20&amp;" "&amp;AA21&amp;" is More than Current ON ART "&amp;CHAR(10),""))</f>
        <v/>
      </c>
      <c r="AL186" s="1122"/>
      <c r="AM186" s="31"/>
      <c r="AN186" s="1134"/>
      <c r="AO186" s="13">
        <v>104</v>
      </c>
      <c r="AP186" s="74"/>
      <c r="AQ186" s="149"/>
    </row>
    <row r="187" spans="1:43" s="14" customFormat="1" ht="38.450000000000003" customHeight="1" thickBot="1" x14ac:dyDescent="0.45">
      <c r="A187" s="1112"/>
      <c r="B187" s="150" t="s">
        <v>631</v>
      </c>
      <c r="C187" s="576" t="s">
        <v>195</v>
      </c>
      <c r="D187" s="151"/>
      <c r="E187" s="152"/>
      <c r="F187" s="152"/>
      <c r="G187" s="152"/>
      <c r="H187" s="152"/>
      <c r="I187" s="152"/>
      <c r="J187" s="152"/>
      <c r="K187" s="152"/>
      <c r="L187" s="152"/>
      <c r="M187" s="152"/>
      <c r="N187" s="152"/>
      <c r="O187" s="152"/>
      <c r="P187" s="152"/>
      <c r="Q187" s="152"/>
      <c r="R187" s="152"/>
      <c r="S187" s="152"/>
      <c r="T187" s="152"/>
      <c r="U187" s="152"/>
      <c r="V187" s="152"/>
      <c r="W187" s="152"/>
      <c r="X187" s="152"/>
      <c r="Y187" s="152"/>
      <c r="Z187" s="152"/>
      <c r="AA187" s="327"/>
      <c r="AB187" s="375"/>
      <c r="AC187" s="345"/>
      <c r="AD187" s="345"/>
      <c r="AE187" s="345"/>
      <c r="AF187" s="345"/>
      <c r="AG187" s="345"/>
      <c r="AH187" s="345"/>
      <c r="AI187" s="302"/>
      <c r="AJ187" s="192">
        <f t="shared" si="54"/>
        <v>0</v>
      </c>
      <c r="AK187" s="116"/>
      <c r="AL187" s="1122"/>
      <c r="AM187" s="31"/>
      <c r="AN187" s="1134"/>
      <c r="AO187" s="13">
        <v>105</v>
      </c>
      <c r="AP187" s="74"/>
      <c r="AQ187" s="149"/>
    </row>
    <row r="188" spans="1:43" s="14" customFormat="1" ht="38.450000000000003" customHeight="1" x14ac:dyDescent="0.4">
      <c r="A188" s="1111" t="s">
        <v>1239</v>
      </c>
      <c r="B188" s="146" t="s">
        <v>630</v>
      </c>
      <c r="C188" s="575" t="s">
        <v>196</v>
      </c>
      <c r="D188" s="147"/>
      <c r="E188" s="148"/>
      <c r="F188" s="148"/>
      <c r="G188" s="148"/>
      <c r="H188" s="148"/>
      <c r="I188" s="148"/>
      <c r="J188" s="148"/>
      <c r="K188" s="148"/>
      <c r="L188" s="148"/>
      <c r="M188" s="148"/>
      <c r="N188" s="148"/>
      <c r="O188" s="148"/>
      <c r="P188" s="148"/>
      <c r="Q188" s="148"/>
      <c r="R188" s="148"/>
      <c r="S188" s="148"/>
      <c r="T188" s="148"/>
      <c r="U188" s="148"/>
      <c r="V188" s="148"/>
      <c r="W188" s="148"/>
      <c r="X188" s="148"/>
      <c r="Y188" s="148"/>
      <c r="Z188" s="148"/>
      <c r="AA188" s="326"/>
      <c r="AB188" s="375"/>
      <c r="AC188" s="345"/>
      <c r="AD188" s="345"/>
      <c r="AE188" s="345"/>
      <c r="AF188" s="345"/>
      <c r="AG188" s="345"/>
      <c r="AH188" s="345"/>
      <c r="AI188" s="302"/>
      <c r="AJ188" s="188">
        <f t="shared" si="54"/>
        <v>0</v>
      </c>
      <c r="AK188" s="116"/>
      <c r="AL188" s="1122"/>
      <c r="AM188" s="31"/>
      <c r="AN188" s="1134"/>
      <c r="AO188" s="13">
        <v>106</v>
      </c>
      <c r="AP188" s="74"/>
      <c r="AQ188" s="149"/>
    </row>
    <row r="189" spans="1:43" s="14" customFormat="1" ht="38.450000000000003" customHeight="1" thickBot="1" x14ac:dyDescent="0.45">
      <c r="A189" s="1112"/>
      <c r="B189" s="150" t="s">
        <v>631</v>
      </c>
      <c r="C189" s="576" t="s">
        <v>197</v>
      </c>
      <c r="D189" s="151"/>
      <c r="E189" s="152"/>
      <c r="F189" s="152"/>
      <c r="G189" s="152"/>
      <c r="H189" s="152"/>
      <c r="I189" s="152"/>
      <c r="J189" s="152"/>
      <c r="K189" s="152"/>
      <c r="L189" s="152"/>
      <c r="M189" s="152"/>
      <c r="N189" s="152"/>
      <c r="O189" s="152"/>
      <c r="P189" s="152"/>
      <c r="Q189" s="152"/>
      <c r="R189" s="152"/>
      <c r="S189" s="152"/>
      <c r="T189" s="152"/>
      <c r="U189" s="152"/>
      <c r="V189" s="152"/>
      <c r="W189" s="152"/>
      <c r="X189" s="152"/>
      <c r="Y189" s="152"/>
      <c r="Z189" s="152"/>
      <c r="AA189" s="327"/>
      <c r="AB189" s="375"/>
      <c r="AC189" s="345"/>
      <c r="AD189" s="345"/>
      <c r="AE189" s="345"/>
      <c r="AF189" s="345"/>
      <c r="AG189" s="345"/>
      <c r="AH189" s="345"/>
      <c r="AI189" s="302"/>
      <c r="AJ189" s="192">
        <f t="shared" si="54"/>
        <v>0</v>
      </c>
      <c r="AK189" s="116"/>
      <c r="AL189" s="1122"/>
      <c r="AM189" s="31"/>
      <c r="AN189" s="1134"/>
      <c r="AO189" s="13">
        <v>107</v>
      </c>
      <c r="AP189" s="74"/>
      <c r="AQ189" s="149"/>
    </row>
    <row r="190" spans="1:43" s="14" customFormat="1" ht="38.450000000000003" customHeight="1" x14ac:dyDescent="0.4">
      <c r="A190" s="1111" t="s">
        <v>1241</v>
      </c>
      <c r="B190" s="146" t="s">
        <v>630</v>
      </c>
      <c r="C190" s="575" t="s">
        <v>198</v>
      </c>
      <c r="D190" s="147"/>
      <c r="E190" s="148"/>
      <c r="F190" s="148"/>
      <c r="G190" s="148"/>
      <c r="H190" s="148"/>
      <c r="I190" s="148"/>
      <c r="J190" s="148"/>
      <c r="K190" s="148"/>
      <c r="L190" s="148"/>
      <c r="M190" s="148"/>
      <c r="N190" s="148"/>
      <c r="O190" s="148"/>
      <c r="P190" s="148"/>
      <c r="Q190" s="148"/>
      <c r="R190" s="148"/>
      <c r="S190" s="148"/>
      <c r="T190" s="148"/>
      <c r="U190" s="148"/>
      <c r="V190" s="148"/>
      <c r="W190" s="148"/>
      <c r="X190" s="148"/>
      <c r="Y190" s="148"/>
      <c r="Z190" s="148"/>
      <c r="AA190" s="326"/>
      <c r="AB190" s="375"/>
      <c r="AC190" s="345"/>
      <c r="AD190" s="345"/>
      <c r="AE190" s="345"/>
      <c r="AF190" s="345"/>
      <c r="AG190" s="345"/>
      <c r="AH190" s="345"/>
      <c r="AI190" s="302"/>
      <c r="AJ190" s="188">
        <f t="shared" si="54"/>
        <v>0</v>
      </c>
      <c r="AK190" s="116"/>
      <c r="AL190" s="1122"/>
      <c r="AM190" s="31"/>
      <c r="AN190" s="1134"/>
      <c r="AO190" s="13">
        <v>108</v>
      </c>
      <c r="AP190" s="74"/>
      <c r="AQ190" s="149"/>
    </row>
    <row r="191" spans="1:43" s="14" customFormat="1" ht="38.450000000000003" customHeight="1" thickBot="1" x14ac:dyDescent="0.45">
      <c r="A191" s="1112"/>
      <c r="B191" s="150" t="s">
        <v>631</v>
      </c>
      <c r="C191" s="576" t="s">
        <v>199</v>
      </c>
      <c r="D191" s="151"/>
      <c r="E191" s="152"/>
      <c r="F191" s="152"/>
      <c r="G191" s="152"/>
      <c r="H191" s="152"/>
      <c r="I191" s="152"/>
      <c r="J191" s="152"/>
      <c r="K191" s="152"/>
      <c r="L191" s="152"/>
      <c r="M191" s="152"/>
      <c r="N191" s="152"/>
      <c r="O191" s="152"/>
      <c r="P191" s="152"/>
      <c r="Q191" s="152"/>
      <c r="R191" s="152"/>
      <c r="S191" s="152"/>
      <c r="T191" s="152"/>
      <c r="U191" s="152"/>
      <c r="V191" s="152"/>
      <c r="W191" s="152"/>
      <c r="X191" s="152"/>
      <c r="Y191" s="152"/>
      <c r="Z191" s="152"/>
      <c r="AA191" s="327"/>
      <c r="AB191" s="375"/>
      <c r="AC191" s="345"/>
      <c r="AD191" s="345"/>
      <c r="AE191" s="345"/>
      <c r="AF191" s="345"/>
      <c r="AG191" s="345"/>
      <c r="AH191" s="345"/>
      <c r="AI191" s="302"/>
      <c r="AJ191" s="192">
        <f t="shared" si="54"/>
        <v>0</v>
      </c>
      <c r="AK191" s="116"/>
      <c r="AL191" s="1122"/>
      <c r="AM191" s="31"/>
      <c r="AN191" s="1134"/>
      <c r="AO191" s="13">
        <v>109</v>
      </c>
      <c r="AP191" s="74"/>
      <c r="AQ191" s="149"/>
    </row>
    <row r="192" spans="1:43" s="14" customFormat="1" ht="38.450000000000003" customHeight="1" x14ac:dyDescent="0.4">
      <c r="A192" s="1111" t="s">
        <v>31</v>
      </c>
      <c r="B192" s="153" t="s">
        <v>630</v>
      </c>
      <c r="C192" s="577" t="s">
        <v>200</v>
      </c>
      <c r="D192" s="154"/>
      <c r="E192" s="127"/>
      <c r="F192" s="127"/>
      <c r="G192" s="127"/>
      <c r="H192" s="127"/>
      <c r="I192" s="127"/>
      <c r="J192" s="127"/>
      <c r="K192" s="127"/>
      <c r="L192" s="127"/>
      <c r="M192" s="127"/>
      <c r="N192" s="127"/>
      <c r="O192" s="127"/>
      <c r="P192" s="127"/>
      <c r="Q192" s="127"/>
      <c r="R192" s="127"/>
      <c r="S192" s="127"/>
      <c r="T192" s="127"/>
      <c r="U192" s="127"/>
      <c r="V192" s="127"/>
      <c r="W192" s="127"/>
      <c r="X192" s="127"/>
      <c r="Y192" s="127"/>
      <c r="Z192" s="127"/>
      <c r="AA192" s="319"/>
      <c r="AB192" s="375"/>
      <c r="AC192" s="345"/>
      <c r="AD192" s="345"/>
      <c r="AE192" s="345"/>
      <c r="AF192" s="345"/>
      <c r="AG192" s="345"/>
      <c r="AH192" s="345"/>
      <c r="AI192" s="302"/>
      <c r="AJ192" s="52">
        <f t="shared" si="54"/>
        <v>0</v>
      </c>
      <c r="AK192" s="116"/>
      <c r="AL192" s="1122"/>
      <c r="AM192" s="31"/>
      <c r="AN192" s="1134"/>
      <c r="AO192" s="13">
        <v>110</v>
      </c>
      <c r="AP192" s="74"/>
      <c r="AQ192" s="149"/>
    </row>
    <row r="193" spans="1:43" s="14" customFormat="1" ht="38.450000000000003" customHeight="1" thickBot="1" x14ac:dyDescent="0.45">
      <c r="A193" s="1113"/>
      <c r="B193" s="155" t="s">
        <v>631</v>
      </c>
      <c r="C193" s="797" t="s">
        <v>201</v>
      </c>
      <c r="D193" s="156"/>
      <c r="E193" s="157"/>
      <c r="F193" s="157"/>
      <c r="G193" s="157"/>
      <c r="H193" s="157"/>
      <c r="I193" s="157"/>
      <c r="J193" s="157"/>
      <c r="K193" s="157"/>
      <c r="L193" s="157"/>
      <c r="M193" s="157"/>
      <c r="N193" s="157"/>
      <c r="O193" s="157"/>
      <c r="P193" s="157"/>
      <c r="Q193" s="157"/>
      <c r="R193" s="157"/>
      <c r="S193" s="157"/>
      <c r="T193" s="157"/>
      <c r="U193" s="157"/>
      <c r="V193" s="157"/>
      <c r="W193" s="157"/>
      <c r="X193" s="157"/>
      <c r="Y193" s="157"/>
      <c r="Z193" s="157"/>
      <c r="AA193" s="328"/>
      <c r="AB193" s="375"/>
      <c r="AC193" s="345"/>
      <c r="AD193" s="345"/>
      <c r="AE193" s="345"/>
      <c r="AF193" s="345"/>
      <c r="AG193" s="345"/>
      <c r="AH193" s="345"/>
      <c r="AI193" s="302"/>
      <c r="AJ193" s="380">
        <f t="shared" si="54"/>
        <v>0</v>
      </c>
      <c r="AK193" s="122"/>
      <c r="AL193" s="1123"/>
      <c r="AM193" s="123"/>
      <c r="AN193" s="1135"/>
      <c r="AO193" s="13">
        <v>111</v>
      </c>
      <c r="AP193" s="74"/>
      <c r="AQ193" s="149"/>
    </row>
    <row r="194" spans="1:43" ht="34.5" customHeight="1" thickBot="1" x14ac:dyDescent="0.45">
      <c r="A194" s="1114" t="s">
        <v>1248</v>
      </c>
      <c r="B194" s="1115"/>
      <c r="C194" s="1116"/>
      <c r="D194" s="1116"/>
      <c r="E194" s="1116"/>
      <c r="F194" s="1116"/>
      <c r="G194" s="1116"/>
      <c r="H194" s="1116"/>
      <c r="I194" s="1116"/>
      <c r="J194" s="1116"/>
      <c r="K194" s="1116"/>
      <c r="L194" s="1116"/>
      <c r="M194" s="1116"/>
      <c r="N194" s="1116"/>
      <c r="O194" s="1116"/>
      <c r="P194" s="1116"/>
      <c r="Q194" s="1116"/>
      <c r="R194" s="1116"/>
      <c r="S194" s="1116"/>
      <c r="T194" s="1116"/>
      <c r="U194" s="1116"/>
      <c r="V194" s="1116"/>
      <c r="W194" s="1116"/>
      <c r="X194" s="1116"/>
      <c r="Y194" s="1116"/>
      <c r="Z194" s="1116"/>
      <c r="AA194" s="1116"/>
      <c r="AB194" s="1117"/>
      <c r="AC194" s="1117"/>
      <c r="AD194" s="1117"/>
      <c r="AE194" s="1117"/>
      <c r="AF194" s="1117"/>
      <c r="AG194" s="1117"/>
      <c r="AH194" s="1117"/>
      <c r="AI194" s="1117"/>
      <c r="AJ194" s="1118"/>
      <c r="AK194" s="1116"/>
      <c r="AL194" s="1118"/>
      <c r="AM194" s="1118"/>
      <c r="AN194" s="1119"/>
      <c r="AO194" s="13">
        <v>97</v>
      </c>
      <c r="AP194" s="74"/>
      <c r="AQ194" s="75"/>
    </row>
    <row r="195" spans="1:43" s="61" customFormat="1" ht="67.150000000000006" customHeight="1" thickBot="1" x14ac:dyDescent="0.45">
      <c r="A195" s="834" t="s">
        <v>1246</v>
      </c>
      <c r="B195" s="501" t="s">
        <v>1215</v>
      </c>
      <c r="C195" s="991" t="s">
        <v>1245</v>
      </c>
      <c r="D195" s="141"/>
      <c r="E195" s="89"/>
      <c r="F195" s="89"/>
      <c r="G195" s="89"/>
      <c r="H195" s="89"/>
      <c r="I195" s="89"/>
      <c r="J195" s="89"/>
      <c r="K195" s="89"/>
      <c r="L195" s="89"/>
      <c r="M195" s="89"/>
      <c r="N195" s="89"/>
      <c r="O195" s="89"/>
      <c r="P195" s="89"/>
      <c r="Q195" s="89"/>
      <c r="R195" s="89"/>
      <c r="S195" s="89"/>
      <c r="T195" s="89"/>
      <c r="U195" s="89"/>
      <c r="V195" s="89"/>
      <c r="W195" s="89"/>
      <c r="X195" s="89"/>
      <c r="Y195" s="89"/>
      <c r="Z195" s="89"/>
      <c r="AA195" s="309"/>
      <c r="AB195" s="375"/>
      <c r="AC195" s="345"/>
      <c r="AD195" s="345"/>
      <c r="AE195" s="345"/>
      <c r="AF195" s="345"/>
      <c r="AG195" s="345"/>
      <c r="AH195" s="345"/>
      <c r="AI195" s="302"/>
      <c r="AJ195" s="192">
        <f t="shared" ref="AJ195" si="55">SUM(D195:AA195)</f>
        <v>0</v>
      </c>
      <c r="AK195" s="796"/>
      <c r="AL195" s="1121" t="str">
        <f>CONCATENATE(AK195,AK196,AK197,AK198,AK199,AK200,AK201,AK202,AK203,AK204,AK205,AK206,AK207)</f>
        <v/>
      </c>
      <c r="AM195" s="60"/>
      <c r="AN195" s="795"/>
      <c r="AO195" s="13">
        <v>101</v>
      </c>
      <c r="AP195" s="80"/>
      <c r="AQ195" s="75"/>
    </row>
    <row r="196" spans="1:43" s="61" customFormat="1" ht="45.4" customHeight="1" x14ac:dyDescent="0.4">
      <c r="A196" s="1136" t="s">
        <v>1221</v>
      </c>
      <c r="B196" s="800" t="s">
        <v>1205</v>
      </c>
      <c r="C196" s="867" t="s">
        <v>1223</v>
      </c>
      <c r="D196" s="236"/>
      <c r="E196" s="94"/>
      <c r="F196" s="94"/>
      <c r="G196" s="94"/>
      <c r="H196" s="94"/>
      <c r="I196" s="94"/>
      <c r="J196" s="94"/>
      <c r="K196" s="94"/>
      <c r="L196" s="94"/>
      <c r="M196" s="94"/>
      <c r="N196" s="94"/>
      <c r="O196" s="94"/>
      <c r="P196" s="94"/>
      <c r="Q196" s="94"/>
      <c r="R196" s="94"/>
      <c r="S196" s="94"/>
      <c r="T196" s="94"/>
      <c r="U196" s="94"/>
      <c r="V196" s="94"/>
      <c r="W196" s="94"/>
      <c r="X196" s="94"/>
      <c r="Y196" s="94"/>
      <c r="Z196" s="94"/>
      <c r="AA196" s="310"/>
      <c r="AB196" s="373"/>
      <c r="AC196" s="374"/>
      <c r="AD196" s="374"/>
      <c r="AE196" s="374"/>
      <c r="AF196" s="374"/>
      <c r="AG196" s="374"/>
      <c r="AH196" s="374"/>
      <c r="AI196" s="305"/>
      <c r="AJ196" s="188">
        <f>SUM(D196:AA196)</f>
        <v>0</v>
      </c>
      <c r="AK196" s="139" t="str">
        <f>CONCATENATE(IF(D198&gt;D196," * Completed Other Forms Of TPT for Age "&amp;D32&amp;" "&amp;D33&amp;" is more than Initiated on  Other Forms of TPT"&amp;CHAR(10),""),IF(E198&gt;E196," * Completed Other Forms Of TPT for Age "&amp;D32&amp;" "&amp;E33&amp;" is more than Initiated on  Other Forms of TPT"&amp;CHAR(10),""),IF(F198&gt;F196," * Completed Other Forms Of TPT for Age "&amp;F32&amp;" "&amp;F33&amp;" is more than Initiated on  Other Forms of TPT"&amp;CHAR(10),""),IF(G198&gt;G196," * Completed Other Forms Of TPT for Age "&amp;F32&amp;" "&amp;G33&amp;" is more than Initiated on  Other Forms of TPT"&amp;CHAR(10),""),IF(H198&gt;H196," * Completed Other Forms Of TPT for Age "&amp;H32&amp;" "&amp;H33&amp;" is more than Initiated on  Other Forms of TPT"&amp;CHAR(10),""),IF(I198&gt;I196," * Completed Other Forms Of TPT for Age "&amp;H32&amp;" "&amp;I33&amp;" is more than Initiated on  Other Forms of TPT"&amp;CHAR(10),""),IF(J198&gt;J196," * Completed Other Forms Of TPT for Age "&amp;J32&amp;" "&amp;J33&amp;" is more than Initiated on  Other Forms of TPT"&amp;CHAR(10),""),IF(K198&gt;K196," * Completed Other Forms Of TPT for Age "&amp;J32&amp;" "&amp;K33&amp;" is more than Initiated on  Other Forms of TPT"&amp;CHAR(10),""),IF(L198&gt;L196," * Completed Other Forms Of TPT for Age "&amp;L32&amp;" "&amp;L33&amp;" is more than Initiated on  Other Forms of TPT"&amp;CHAR(10),""),IF(M198&gt;M196," * Completed Other Forms Of TPT for Age "&amp;L32&amp;" "&amp;M33&amp;" is more than Initiated on  Other Forms of TPT"&amp;CHAR(10),""),IF(N198&gt;N196," * Completed Other Forms Of TPT for Age "&amp;N32&amp;" "&amp;N33&amp;" is more than Initiated on  Other Forms of TPT"&amp;CHAR(10),""),IF(O198&gt;O196," * Completed Other Forms Of TPT for Age "&amp;N32&amp;" "&amp;O33&amp;" is more than Initiated on  Other Forms of TPT"&amp;CHAR(10),""),IF(P198&gt;P196," * Completed Other Forms Of TPT for Age "&amp;P32&amp;" "&amp;P33&amp;" is more than Initiated on  Other Forms of TPT"&amp;CHAR(10),""),IF(Q198&gt;Q196," * Completed Other Forms Of TPT for Age "&amp;P32&amp;" "&amp;Q33&amp;" is more than Initiated on  Other Forms of TPT"&amp;CHAR(10),""),IF(R198&gt;R196," * Completed Other Forms Of TPT for Age "&amp;R32&amp;" "&amp;R33&amp;" is more than Initiated on  Other Forms of TPT"&amp;CHAR(10),""),IF(S198&gt;S196," * Completed Other Forms Of TPT for Age "&amp;R32&amp;" "&amp;S33&amp;" is more than Initiated on  Other Forms of TPT"&amp;CHAR(10),""),IF(T198&gt;T196," * Completed Other Forms Of TPT for Age "&amp;T32&amp;" "&amp;T33&amp;" is more than Initiated on  Other Forms of TPT"&amp;CHAR(10),""),IF(U198&gt;U196," * Completed Other Forms Of TPT for Age "&amp;T32&amp;" "&amp;U33&amp;" is more than Initiated on  Other Forms of TPT"&amp;CHAR(10),""),IF(V198&gt;V196," * Completed Other Forms Of TPT for Age "&amp;V32&amp;" "&amp;V33&amp;" is more than Initiated on  Other Forms of TPT"&amp;CHAR(10),""),IF(W198&gt;W196," * Completed Other Forms Of TPT for Age "&amp;V32&amp;" "&amp;W33&amp;" is more than Initiated on  Other Forms of TPT"&amp;CHAR(10),""),IF(X198&gt;X196," * Completed Other Forms Of TPT for Age "&amp;X32&amp;" "&amp;X33&amp;" is more than Initiated on  Other Forms of TPT"&amp;CHAR(10),""),IF(Y198&gt;Y196," * Completed Other Forms Of TPT for Age "&amp;X32&amp;" "&amp;Y33&amp;" is more than Initiated on  Other Forms of TPT"&amp;CHAR(10),""),IF(Z198&gt;Z196," * Completed Other Forms Of TPT for Age "&amp;Z32&amp;" "&amp;Z33&amp;" is more than Initiated on  Other Forms of TPT"&amp;CHAR(10),""),IF(AA198&gt;AA196," * Completed Other Forms Of TPT for Age "&amp;Z32&amp;" "&amp;AA33&amp;" is more than Initiated on  Other Forms of TPT"&amp;CHAR(10),""))</f>
        <v/>
      </c>
      <c r="AL196" s="1122"/>
      <c r="AM196" s="140"/>
      <c r="AN196" s="126"/>
      <c r="AO196" s="13">
        <v>100</v>
      </c>
      <c r="AP196" s="80"/>
      <c r="AQ196" s="75"/>
    </row>
    <row r="197" spans="1:43" s="61" customFormat="1" ht="46.5" customHeight="1" thickBot="1" x14ac:dyDescent="0.45">
      <c r="A197" s="1110"/>
      <c r="B197" s="801" t="s">
        <v>1206</v>
      </c>
      <c r="C197" s="868" t="s">
        <v>1224</v>
      </c>
      <c r="D197" s="141"/>
      <c r="E197" s="89"/>
      <c r="F197" s="89"/>
      <c r="G197" s="89"/>
      <c r="H197" s="89"/>
      <c r="I197" s="89"/>
      <c r="J197" s="89"/>
      <c r="K197" s="89"/>
      <c r="L197" s="89"/>
      <c r="M197" s="89"/>
      <c r="N197" s="89"/>
      <c r="O197" s="89"/>
      <c r="P197" s="89"/>
      <c r="Q197" s="89"/>
      <c r="R197" s="89"/>
      <c r="S197" s="89"/>
      <c r="T197" s="89"/>
      <c r="U197" s="89"/>
      <c r="V197" s="89"/>
      <c r="W197" s="89"/>
      <c r="X197" s="89"/>
      <c r="Y197" s="89"/>
      <c r="Z197" s="89"/>
      <c r="AA197" s="309"/>
      <c r="AB197" s="376"/>
      <c r="AC197" s="377"/>
      <c r="AD197" s="377"/>
      <c r="AE197" s="377"/>
      <c r="AF197" s="377"/>
      <c r="AG197" s="377"/>
      <c r="AH197" s="377"/>
      <c r="AI197" s="303"/>
      <c r="AJ197" s="192">
        <f t="shared" ref="AJ197:AJ207" si="56">SUM(D197:AA197)</f>
        <v>0</v>
      </c>
      <c r="AK197" s="796"/>
      <c r="AL197" s="1122"/>
      <c r="AM197" s="60"/>
      <c r="AN197" s="126"/>
      <c r="AO197" s="13">
        <v>101</v>
      </c>
      <c r="AP197" s="80"/>
      <c r="AQ197" s="75"/>
    </row>
    <row r="198" spans="1:43" ht="46.5" customHeight="1" x14ac:dyDescent="0.4">
      <c r="A198" s="1109" t="s">
        <v>1222</v>
      </c>
      <c r="B198" s="69" t="s">
        <v>1207</v>
      </c>
      <c r="C198" s="871" t="s">
        <v>1225</v>
      </c>
      <c r="D198" s="197"/>
      <c r="E198" s="798"/>
      <c r="F198" s="798"/>
      <c r="G198" s="798"/>
      <c r="H198" s="798"/>
      <c r="I198" s="798"/>
      <c r="J198" s="798"/>
      <c r="K198" s="798"/>
      <c r="L198" s="798"/>
      <c r="M198" s="798"/>
      <c r="N198" s="798"/>
      <c r="O198" s="798"/>
      <c r="P198" s="798"/>
      <c r="Q198" s="798"/>
      <c r="R198" s="798"/>
      <c r="S198" s="798"/>
      <c r="T198" s="798"/>
      <c r="U198" s="798"/>
      <c r="V198" s="798"/>
      <c r="W198" s="798"/>
      <c r="X198" s="798"/>
      <c r="Y198" s="798"/>
      <c r="Z198" s="798"/>
      <c r="AA198" s="799"/>
      <c r="AB198" s="375"/>
      <c r="AC198" s="345"/>
      <c r="AD198" s="345"/>
      <c r="AE198" s="345"/>
      <c r="AF198" s="345"/>
      <c r="AG198" s="345"/>
      <c r="AH198" s="345"/>
      <c r="AI198" s="302"/>
      <c r="AJ198" s="52">
        <f t="shared" si="56"/>
        <v>0</v>
      </c>
      <c r="AK198" s="796" t="str">
        <f>CONCATENATE(IF(D198&gt;D196," * F03-03 for Age "&amp;D36&amp;" "&amp;D37&amp;" is more than F03-01"&amp;CHAR(10),""),IF(E198&gt;E196," * F03-03 for Age "&amp;D36&amp;" "&amp;E37&amp;" is more than F03-01"&amp;CHAR(10),""),IF(F198&gt;F196," * F03-03 for Age "&amp;F36&amp;" "&amp;F37&amp;" is more than F03-01"&amp;CHAR(10),""),IF(G198&gt;G196," * F03-03 for Age "&amp;F36&amp;" "&amp;G37&amp;" is more than F03-01"&amp;CHAR(10),""),IF(H198&gt;H196," * F03-03 for Age "&amp;H36&amp;" "&amp;H37&amp;" is more than F03-01"&amp;CHAR(10),""),IF(I198&gt;I196," * F03-03 for Age "&amp;H36&amp;" "&amp;I37&amp;" is more than F03-01"&amp;CHAR(10),""),IF(J198&gt;J196," * F03-03 for Age "&amp;J36&amp;" "&amp;J37&amp;" is more than F03-01"&amp;CHAR(10),""),IF(K198&gt;K196," * F03-03 for Age "&amp;J36&amp;" "&amp;K37&amp;" is more than F03-01"&amp;CHAR(10),""),IF(L198&gt;L196," * F03-03 for Age "&amp;L36&amp;" "&amp;L37&amp;" is more than F03-01"&amp;CHAR(10),""),IF(M198&gt;M196," * F03-03 for Age "&amp;L36&amp;" "&amp;M37&amp;" is more than F03-01"&amp;CHAR(10),""),IF(N198&gt;N196," * F03-03 for Age "&amp;N36&amp;" "&amp;N37&amp;" is more than F03-01"&amp;CHAR(10),""),IF(O198&gt;O196," * F03-03 for Age "&amp;N36&amp;" "&amp;O37&amp;" is more than F03-01"&amp;CHAR(10),""),IF(P198&gt;P196," * F03-03 for Age "&amp;P36&amp;" "&amp;P37&amp;" is more than F03-01"&amp;CHAR(10),""),IF(Q198&gt;Q196," * F03-03 for Age "&amp;P36&amp;" "&amp;Q37&amp;" is more than F03-01"&amp;CHAR(10),""),IF(R198&gt;R196," * F03-03 for Age "&amp;R36&amp;" "&amp;R37&amp;" is more than F03-01"&amp;CHAR(10),""),IF(S198&gt;S196," * F03-03 for Age "&amp;R36&amp;" "&amp;S37&amp;" is more than F03-01"&amp;CHAR(10),""),IF(T198&gt;T196," * F03-03 for Age "&amp;T36&amp;" "&amp;T37&amp;" is more than F03-01"&amp;CHAR(10),""),IF(U198&gt;U196," * F03-03 for Age "&amp;T36&amp;" "&amp;U37&amp;" is more than F03-01"&amp;CHAR(10),""),IF(V198&gt;V196," * F03-03 for Age "&amp;V36&amp;" "&amp;V37&amp;" is more than F03-01"&amp;CHAR(10),""),IF(W198&gt;W196," * F03-03 for Age "&amp;V36&amp;" "&amp;W37&amp;" is more than F03-01"&amp;CHAR(10),""),IF(X198&gt;X196," * F03-03 for Age "&amp;X36&amp;" "&amp;X37&amp;" is more than F03-01"&amp;CHAR(10),""),IF(Y198&gt;Y196," * F03-03 for Age "&amp;X36&amp;" "&amp;Y37&amp;" is more than F03-01"&amp;CHAR(10),""),IF(Z198&gt;Z196," * F03-03 for Age "&amp;Z36&amp;" "&amp;Z37&amp;" is more than F03-01"&amp;CHAR(10),""),IF(AA198&gt;AA196," * F03-03 for Age "&amp;Z36&amp;" "&amp;AA37&amp;" is more than F03-01"&amp;CHAR(10),""))</f>
        <v/>
      </c>
      <c r="AL198" s="1122"/>
      <c r="AM198" s="31"/>
      <c r="AN198" s="126"/>
      <c r="AO198" s="13">
        <v>102</v>
      </c>
      <c r="AP198" s="74"/>
      <c r="AQ198" s="75"/>
    </row>
    <row r="199" spans="1:43" ht="40.9" customHeight="1" thickBot="1" x14ac:dyDescent="0.45">
      <c r="A199" s="1110"/>
      <c r="B199" s="87" t="s">
        <v>1206</v>
      </c>
      <c r="C199" s="868" t="s">
        <v>1226</v>
      </c>
      <c r="D199" s="144"/>
      <c r="E199" s="145"/>
      <c r="F199" s="145"/>
      <c r="G199" s="145"/>
      <c r="H199" s="145"/>
      <c r="I199" s="145"/>
      <c r="J199" s="145"/>
      <c r="K199" s="145"/>
      <c r="L199" s="145"/>
      <c r="M199" s="145"/>
      <c r="N199" s="145"/>
      <c r="O199" s="145"/>
      <c r="P199" s="145"/>
      <c r="Q199" s="145"/>
      <c r="R199" s="145"/>
      <c r="S199" s="145"/>
      <c r="T199" s="145"/>
      <c r="U199" s="145"/>
      <c r="V199" s="145"/>
      <c r="W199" s="145"/>
      <c r="X199" s="145"/>
      <c r="Y199" s="145"/>
      <c r="Z199" s="145"/>
      <c r="AA199" s="325"/>
      <c r="AB199" s="375"/>
      <c r="AC199" s="345"/>
      <c r="AD199" s="345"/>
      <c r="AE199" s="345"/>
      <c r="AF199" s="345"/>
      <c r="AG199" s="345"/>
      <c r="AH199" s="345"/>
      <c r="AI199" s="302"/>
      <c r="AJ199" s="192">
        <f t="shared" si="56"/>
        <v>0</v>
      </c>
      <c r="AK199" s="796" t="str">
        <f>CONCATENATE(IF(D199&gt;D197," * Already On ART Completed IPT for Age "&amp;D36&amp;" "&amp;D37&amp;" is more than Already On ART Initiated on Other Forms of  IPT"&amp;CHAR(10),""),IF(E199&gt;E197," * Already On ART Completed IPT for Age "&amp;D36&amp;" "&amp;E37&amp;" is more than Already On ART Initiated on Other Forms of  IPT"&amp;CHAR(10),""),IF(F199&gt;F197," * Already On ART Completed IPT for Age "&amp;F36&amp;" "&amp;F37&amp;" is more than Already On ART Initiated on Other Forms of  IPT"&amp;CHAR(10),""),IF(G199&gt;G197," * Already On ART Completed IPT for Age "&amp;F36&amp;" "&amp;G37&amp;" is more than Already On ART Initiated on Other Forms of  IPT"&amp;CHAR(10),""),IF(H199&gt;H197," * Already On ART Completed IPT for Age "&amp;H36&amp;" "&amp;H37&amp;" is more than Already On ART Initiated on Other Forms of  IPT"&amp;CHAR(10),""),IF(I199&gt;I197," * Already On ART Completed IPT for Age "&amp;H36&amp;" "&amp;I37&amp;" is more than Already On ART Initiated on Other Forms of  IPT"&amp;CHAR(10),""),IF(J199&gt;J197," * Already On ART Completed IPT for Age "&amp;J36&amp;" "&amp;J37&amp;" is more than Already On ART Initiated on Other Forms of  IPT"&amp;CHAR(10),""),IF(K199&gt;K197," * Already On ART Completed IPT for Age "&amp;J36&amp;" "&amp;K37&amp;" is more than Already On ART Initiated on Other Forms of  IPT"&amp;CHAR(10),""),IF(L199&gt;L197," * Already On ART Completed IPT for Age "&amp;L36&amp;" "&amp;L37&amp;" is more than Already On ART Initiated on Other Forms of  IPT"&amp;CHAR(10),""),IF(M199&gt;M197," * Already On ART Completed IPT for Age "&amp;L36&amp;" "&amp;M37&amp;" is more than Already On ART Initiated on Other Forms of  IPT"&amp;CHAR(10),""),IF(N199&gt;N197," * Already On ART Completed IPT for Age "&amp;N36&amp;" "&amp;N37&amp;" is more than Already On ART Initiated on Other Forms of  IPT"&amp;CHAR(10),""),IF(O199&gt;O197," * Already On ART Completed IPT for Age "&amp;N36&amp;" "&amp;O37&amp;" is more than Already On ART Initiated on Other Forms of  IPT"&amp;CHAR(10),""),IF(P199&gt;P197," * Already On ART Completed IPT for Age "&amp;P36&amp;" "&amp;P37&amp;" is more than Already On ART Initiated on Other Forms of  IPT"&amp;CHAR(10),""),IF(Q199&gt;Q197," * Already On ART Completed IPT for Age "&amp;P36&amp;" "&amp;Q37&amp;" is more than Already On ART Initiated on Other Forms of  IPT"&amp;CHAR(10),""),IF(R199&gt;R197," * Already On ART Completed IPT for Age "&amp;R36&amp;" "&amp;R37&amp;" is more than Already On ART Initiated on Other Forms of  IPT"&amp;CHAR(10),""),IF(S199&gt;S197," * Already On ART Completed IPT for Age "&amp;R36&amp;" "&amp;S37&amp;" is more than Already On ART Initiated on Other Forms of  IPT"&amp;CHAR(10),""),IF(T199&gt;T197," * Already On ART Completed IPT for Age "&amp;T36&amp;" "&amp;T37&amp;" is more than Already On ART Initiated on Other Forms of  IPT"&amp;CHAR(10),""),IF(U199&gt;U197," * Already On ART Completed IPT for Age "&amp;T36&amp;" "&amp;U37&amp;" is more than Already On ART Initiated on Other Forms of  IPT"&amp;CHAR(10),""),IF(V199&gt;V197," * Already On ART Completed IPT for Age "&amp;V36&amp;" "&amp;V37&amp;" is more than Already On ART Initiated on Other Forms of  IPT"&amp;CHAR(10),""),IF(W199&gt;W197," * Already On ART Completed IPT for Age "&amp;V36&amp;" "&amp;W37&amp;" is more than Already On ART Initiated on Other Forms of  IPT"&amp;CHAR(10),""),IF(X199&gt;X197," * Already On ART Completed IPT for Age "&amp;X36&amp;" "&amp;X37&amp;" is more than Already On ART Initiated on Other Forms of  IPT"&amp;CHAR(10),""),IF(Y199&gt;Y197," * Already On ART Completed IPT for Age "&amp;X36&amp;" "&amp;Y37&amp;" is more than Already On ART Initiated on Other Forms of  IPT"&amp;CHAR(10),""),IF(Z199&gt;Z197," * Already On ART Completed IPT for Age "&amp;Z36&amp;" "&amp;Z37&amp;" is more than Already On ART Initiated on Other Forms of  IPT"&amp;CHAR(10),""),IF(AA199&gt;AA197," * Already On ART Completed IPT for Age "&amp;Z36&amp;" "&amp;AA37&amp;" is more than Already On ART Initiated on Other Forms of  IPT"&amp;CHAR(10),""))</f>
        <v/>
      </c>
      <c r="AL199" s="1122"/>
      <c r="AM199" s="31"/>
      <c r="AN199" s="126"/>
      <c r="AO199" s="13">
        <v>103</v>
      </c>
      <c r="AP199" s="74"/>
      <c r="AQ199" s="75"/>
    </row>
    <row r="200" spans="1:43" s="14" customFormat="1" ht="44.85" customHeight="1" x14ac:dyDescent="0.4">
      <c r="A200" s="1111" t="s">
        <v>1236</v>
      </c>
      <c r="B200" s="146" t="s">
        <v>630</v>
      </c>
      <c r="C200" s="867" t="s">
        <v>1227</v>
      </c>
      <c r="D200" s="147"/>
      <c r="E200" s="148"/>
      <c r="F200" s="148"/>
      <c r="G200" s="148"/>
      <c r="H200" s="148"/>
      <c r="I200" s="148"/>
      <c r="J200" s="148"/>
      <c r="K200" s="148"/>
      <c r="L200" s="148"/>
      <c r="M200" s="148"/>
      <c r="N200" s="148"/>
      <c r="O200" s="148"/>
      <c r="P200" s="148"/>
      <c r="Q200" s="148"/>
      <c r="R200" s="148"/>
      <c r="S200" s="148"/>
      <c r="T200" s="148"/>
      <c r="U200" s="148"/>
      <c r="V200" s="148"/>
      <c r="W200" s="148"/>
      <c r="X200" s="148"/>
      <c r="Y200" s="148"/>
      <c r="Z200" s="148"/>
      <c r="AA200" s="326"/>
      <c r="AB200" s="375"/>
      <c r="AC200" s="345"/>
      <c r="AD200" s="345"/>
      <c r="AE200" s="345"/>
      <c r="AF200" s="345"/>
      <c r="AG200" s="345"/>
      <c r="AH200" s="345"/>
      <c r="AI200" s="302"/>
      <c r="AJ200" s="188">
        <f t="shared" si="56"/>
        <v>0</v>
      </c>
      <c r="AK200" s="796" t="str">
        <f>CONCATENATE(IF(D196&lt;&gt;SUM(D198,D200,D202,D204,D206)," * No. Initiated on other forms of TPT 3 Months Ago while New on ART  for Age "&amp;D20&amp;" "&amp;D21&amp;" is not equal to the sum of (No. completed other forms of TPT, New on ART+No. discontinued +No. Lost to Follow up  +No. died  +No. transferred out after initiation on other forms of TPT  )"&amp;CHAR(10),""),IF(E196&lt;&gt;SUM(E198,E200,E202,E204,E206)," * No. Initiated on other forms of TPT 3 Months Ago while New on ART  for Age "&amp;D20&amp;" "&amp;E21&amp;" is not equal to the sum of No. completed other forms of TPT, New on ART+No. discontinued +No. Lost to Follow up  +No. died  +No. transferred out after initiation on other forms of TPT  "&amp;CHAR(10),""),IF(F196&lt;&gt;SUM(F198,F200,F202,F204,F206)," * No. Initiated on other forms of TPT 3 Months Ago while New on ART  for Age "&amp;F20&amp;" "&amp;F21&amp;" is not equal to the sum of (No. completed other forms of TPT, New on ART+No. discontinued +No. Lost to Follow up  +No. died  +No. transferred out after initiation on other forms of TPT  )"&amp;CHAR(10),""),IF(G196&lt;&gt;SUM(G198,G200,G202,G204,G206)," * No. Initiated on other forms of TPT 3 Months Ago while New on ART  for Age "&amp;F20&amp;" "&amp;G21&amp;" is not equal to the sum of No. completed other forms of TPT, New on ART+No. discontinued +No. Lost to Follow up  +No. died  +No. transferred out after initiation on other forms of TPT  "&amp;CHAR(10),""),IF(H196&lt;&gt;SUM(H198,H200,H202,H204,H206)," * No. Initiated on other forms of TPT 3 Months Ago while New on ART  for Age "&amp;H20&amp;" "&amp;H21&amp;" is not equal to the sum of (No. completed other forms of TPT, New on ART+No. discontinued +No. Lost to Follow up  +No. died  +No. transferred out after initiation on other forms of TPT  )"&amp;CHAR(10),""),IF(I196&lt;&gt;SUM(I198,I200,I202,I204,I206)," * No. Initiated on other forms of TPT 3 Months Ago while New on ART  for Age "&amp;H20&amp;" "&amp;I21&amp;" is not equal to the sum of No. completed other forms of TPT, New on ART+No. discontinued +No. Lost to Follow up  +No. died  +No. transferred out after initiation on other forms of TPT  "&amp;CHAR(10),""),IF(J196&lt;&gt;SUM(J198,J200,J202,J204,J206)," * No. Initiated on other forms of TPT 3 Months Ago while New on ART  for Age "&amp;J20&amp;" "&amp;J21&amp;" is not equal to the sum of (No. completed other forms of TPT, New on ART+No. discontinued +No. Lost to Follow up  +No. died  +No. transferred out after initiation on other forms of TPT  )"&amp;CHAR(10),""),IF(K196&lt;&gt;SUM(K198,K200,K202,K204,K206)," * No. Initiated on other forms of TPT 3 Months Ago while New on ART  for Age "&amp;J20&amp;" "&amp;K21&amp;" is not equal to the sum of No. completed other forms of TPT, New on ART+No. discontinued +No. Lost to Follow up  +No. died  +No. transferred out after initiation on other forms of TPT  "&amp;CHAR(10),""),IF(L196&lt;&gt;SUM(L198,L200,L202,L204,L206)," * No. Initiated on other forms of TPT 3 Months Ago while New on ART  for Age "&amp;L20&amp;" "&amp;L21&amp;" is not equal to the sum of (No. completed other forms of TPT, New on ART+No. discontinued +No. Lost to Follow up  +No. died  +No. transferred out after initiation on other forms of TPT  )"&amp;CHAR(10),""),IF(M196&lt;&gt;SUM(M198,M200,M202,M204,M206)," * No. Initiated on other forms of TPT 3 Months Ago while New on ART  for Age "&amp;L20&amp;" "&amp;M21&amp;" is not equal to the sum of No. completed other forms of TPT, New on ART+No. discontinued +No. Lost to Follow up  +No. died  +No. transferred out after initiation on other forms of TPT  "&amp;CHAR(10),""),IF(N196&lt;&gt;SUM(N198,N200,N202,N204,N206)," * No. Initiated on other forms of TPT 3 Months Ago while New on ART  for Age "&amp;N20&amp;" "&amp;N21&amp;" is not equal to the sum of (No. completed other forms of TPT, New on ART+No. discontinued +No. Lost to Follow up  +No. died  +No. transferred out after initiation on other forms of TPT  )"&amp;CHAR(10),""),IF(O196&lt;&gt;SUM(O198,O200,O202,O204,O206)," * No. Initiated on other forms of TPT 3 Months Ago while New on ART  for Age "&amp;N20&amp;" "&amp;O21&amp;" is not equal to the sum of No. completed other forms of TPT, New on ART+No. discontinued +No. Lost to Follow up  +No. died  +No. transferred out after initiation on other forms of TPT  "&amp;CHAR(10),""),IF(P196&lt;&gt;SUM(P198,P200,P202,P204,P206)," * No. Initiated on other forms of TPT 3 Months Ago while New on ART  for Age "&amp;P20&amp;" "&amp;P21&amp;" is not equal to the sum of (No. completed other forms of TPT, New on ART+No. discontinued +No. Lost to Follow up  +No. died  +No. transferred out after initiation on other forms of TPT  )"&amp;CHAR(10),""),IF(Q196&lt;&gt;SUM(Q198,Q200,Q202,Q204,Q206)," * No. Initiated on other forms of TPT 3 Months Ago while New on ART  for Age "&amp;P20&amp;" "&amp;Q21&amp;" is not equal to the sum of No. completed other forms of TPT, New on ART+No. discontinued +No. Lost to Follow up  +No. died  +No. transferred out after initiation on other forms of TPT  "&amp;CHAR(10),""),IF(R196&lt;&gt;SUM(R198,R200,R202,R204,R206)," * No. Initiated on other forms of TPT 3 Months Ago while New on ART  for Age "&amp;R20&amp;" "&amp;R21&amp;" is not equal to the sum of (No. completed other forms of TPT, New on ART+No. discontinued +No. Lost to Follow up  +No. died  +No. transferred out after initiation on other forms of TPT  )"&amp;CHAR(10),""),IF(S196&lt;&gt;SUM(S198,S200,S202,S204,S206)," * No. Initiated on other forms of TPT 3 Months Ago while New on ART  for Age "&amp;R20&amp;" "&amp;S21&amp;" is not equal to the sum of No. completed other forms of TPT, New on ART+No. discontinued +No. Lost to Follow up  +No. died  +No. transferred out after initiation on other forms of TPT  "&amp;CHAR(10),""),IF(T196&lt;&gt;SUM(T198,T200,T202,T204,T206)," * No. Initiated on other forms of TPT 3 Months Ago while New on ART  for Age "&amp;T20&amp;" "&amp;T21&amp;" is not equal to the sum of (No. completed other forms of TPT, New on ART+No. discontinued +No. Lost to Follow up  +No. died  +No. transferred out after initiation on other forms of TPT  )"&amp;CHAR(10),""),IF(U196&lt;&gt;SUM(U198,U200,U202,U204,U206)," * No. Initiated on other forms of TPT 3 Months Ago while New on ART  for Age "&amp;T20&amp;" "&amp;U21&amp;" is not equal to the sum of No. completed other forms of TPT, New on ART+No. discontinued +No. Lost to Follow up  +No. died  +No. transferred out after initiation on other forms of TPT  "&amp;CHAR(10),""),IF(V196&lt;&gt;SUM(V198,V200,V202,V204,V206)," * No. Initiated on other forms of TPT 3 Months Ago while New on ART  for Age "&amp;V20&amp;" "&amp;V21&amp;" is not equal to the sum of (No. completed other forms of TPT, New on ART+No. discontinued +No. Lost to Follow up  +No. died  +No. transferred out after initiation on other forms of TPT  )"&amp;CHAR(10),""),IF(W196&lt;&gt;SUM(W198,W200,W202,W204,W206)," * No. Initiated on other forms of TPT 3 Months Ago while New on ART  for Age "&amp;V20&amp;" "&amp;W21&amp;" is not equal to the sum of No. completed other forms of TPT, New on ART+No. discontinued +No. Lost to Follow up  +No. died  +No. transferred out after initiation on other forms of TPT  "&amp;CHAR(10),""),IF(X196&lt;&gt;SUM(X198,X200,X202,X204,X206)," * No. Initiated on other forms of TPT 3 Months Ago while New on ART  for Age "&amp;X20&amp;" "&amp;X21&amp;" is not equal to the sum of (No. completed other forms of TPT, New on ART+No. discontinued +No. Lost to Follow up  +No. died  +No. transferred out after initiation on other forms of TPT  )"&amp;CHAR(10),""),IF(Y196&lt;&gt;SUM(Y198,Y200,Y202,Y204,Y206)," * No. Initiated on other forms of TPT 3 Months Ago while New on ART  for Age "&amp;X20&amp;" "&amp;Y21&amp;" is not equal to the sum of No. completed other forms of TPT, New on ART+No. discontinued +No. Lost to Follow up  +No. died  +No. transferred out after initiation on other forms of TPT  "&amp;CHAR(10),""),IF(Z196&lt;&gt;SUM(Z198,Z200,Z202,Z204,Z206)," * No. Initiated on other forms of TPT 3 Months Ago while New on ART  for Age "&amp;Z20&amp;" "&amp;Z21&amp;" is not equal to the sum of (No. completed other forms of TPT, New on ART+No. discontinued +No. Lost to Follow up  +No. died  +No. transferred out after initiation on other forms of TPT  )"&amp;CHAR(10),""),IF(AA196&lt;&gt;SUM(AA198,AA200,AA202,AA204,AA206)," * No. Initiated on other forms of TPT 3 Months Ago while New on ART  for Age "&amp;Z20&amp;" "&amp;AA21&amp;" is not equal to the sum of (No. completed other forms of TPT, New on ART+No. discontinued +No. Lost to Follow up  +No. died  +No. transferred out after initiation on other forms of TPT  )"&amp;CHAR(10),""))</f>
        <v/>
      </c>
      <c r="AL200" s="1122"/>
      <c r="AM200" s="31"/>
      <c r="AN200" s="126"/>
      <c r="AO200" s="13">
        <v>104</v>
      </c>
      <c r="AP200" s="74"/>
      <c r="AQ200" s="149"/>
    </row>
    <row r="201" spans="1:43" s="14" customFormat="1" ht="44.85" customHeight="1" thickBot="1" x14ac:dyDescent="0.45">
      <c r="A201" s="1112"/>
      <c r="B201" s="150" t="s">
        <v>631</v>
      </c>
      <c r="C201" s="868" t="s">
        <v>1228</v>
      </c>
      <c r="D201" s="151"/>
      <c r="E201" s="152"/>
      <c r="F201" s="152"/>
      <c r="G201" s="152"/>
      <c r="H201" s="152"/>
      <c r="I201" s="152"/>
      <c r="J201" s="152"/>
      <c r="K201" s="152"/>
      <c r="L201" s="152"/>
      <c r="M201" s="152"/>
      <c r="N201" s="152"/>
      <c r="O201" s="152"/>
      <c r="P201" s="152"/>
      <c r="Q201" s="152"/>
      <c r="R201" s="152"/>
      <c r="S201" s="152"/>
      <c r="T201" s="152"/>
      <c r="U201" s="152"/>
      <c r="V201" s="152"/>
      <c r="W201" s="152"/>
      <c r="X201" s="152"/>
      <c r="Y201" s="152"/>
      <c r="Z201" s="152"/>
      <c r="AA201" s="327"/>
      <c r="AB201" s="375"/>
      <c r="AC201" s="345"/>
      <c r="AD201" s="345"/>
      <c r="AE201" s="345"/>
      <c r="AF201" s="345"/>
      <c r="AG201" s="345"/>
      <c r="AH201" s="345"/>
      <c r="AI201" s="302"/>
      <c r="AJ201" s="192">
        <f t="shared" si="56"/>
        <v>0</v>
      </c>
      <c r="AK201" s="796" t="str">
        <f>CONCATENATE(IF(D197&lt;&gt;SUM(D199,D201,D203,D205,D207)," * No. Initiated on other forms of TPT 3 Months Ago Already on ART  for Age "&amp;D20&amp;" "&amp;D21&amp;" is not equal to the sum of (No. completed other forms of TPT, Already on ART+No. discontinued +No. Lost to Follow up  +No. died  +No. transferred out after initiation on other forms of TPT  )"&amp;CHAR(10),""),IF(E197&lt;&gt;SUM(E199,E201,E203,E205,E207)," * No. Initiated on other forms of TPT 3 Months Ago Already on ART  for Age "&amp;D20&amp;" "&amp;E21&amp;" is not equal to the sum of No. completed other forms of TPT, Already on ART+No. discontinued +No. Lost to Follow up  +No. died  +No. transferred out after initiation on other forms of TPT  "&amp;CHAR(10),""),IF(F197&lt;&gt;SUM(F199,F201,F203,F205,F207)," * No. Initiated on other forms of TPT 3 Months Ago Already on ART  for Age "&amp;F20&amp;" "&amp;F21&amp;" is not equal to the sum of (No. completed other forms of TPT, Already on ART+No. discontinued +No. Lost to Follow up  +No. died  +No. transferred out after initiation on other forms of TPT  )"&amp;CHAR(10),""),IF(G197&lt;&gt;SUM(G199,G201,G203,G205,G207)," * No. Initiated on other forms of TPT 3 Months Ago Already on ART  for Age "&amp;F20&amp;" "&amp;G21&amp;" is not equal to the sum of No. completed other forms of TPT, Already on ART+No. discontinued +No. Lost to Follow up  +No. died  +No. transferred out after initiation on other forms of TPT  "&amp;CHAR(10),""),IF(H197&lt;&gt;SUM(H199,H201,H203,H205,H207)," * No. Initiated on other forms of TPT 3 Months Ago Already on ART  for Age "&amp;H20&amp;" "&amp;H21&amp;" is not equal to the sum of (No. completed other forms of TPT, Already on ART+No. discontinued +No. Lost to Follow up  +No. died  +No. transferred out after initiation on other forms of TPT  )"&amp;CHAR(10),""),IF(I197&lt;&gt;SUM(I199,I201,I203,I205,I207)," * No. Initiated on other forms of TPT 3 Months Ago Already on ART  for Age "&amp;H20&amp;" "&amp;I21&amp;" is not equal to the sum of No. completed other forms of TPT, Already on ART+No. discontinued +No. Lost to Follow up  +No. died  +No. transferred out after initiation on other forms of TPT  "&amp;CHAR(10),""),IF(J197&lt;&gt;SUM(J199,J201,J203,J205,J207)," * No. Initiated on other forms of TPT 3 Months Ago Already on ART  for Age "&amp;J20&amp;" "&amp;J21&amp;" is not equal to the sum of (No. completed other forms of TPT, Already on ART+No. discontinued +No. Lost to Follow up  +No. died  +No. transferred out after initiation on other forms of TPT  )"&amp;CHAR(10),""),IF(K197&lt;&gt;SUM(K199,K201,K203,K205,K207)," * No. Initiated on other forms of TPT 3 Months Ago Already on ART  for Age "&amp;J20&amp;" "&amp;K21&amp;" is not equal to the sum of No. completed other forms of TPT, Already on ART+No. discontinued +No. Lost to Follow up  +No. died  +No. transferred out after initiation on other forms of TPT  "&amp;CHAR(10),""),IF(L197&lt;&gt;SUM(L199,L201,L203,L205,L207)," * No. Initiated on other forms of TPT 3 Months Ago Already on ART  for Age "&amp;L20&amp;" "&amp;L21&amp;" is not equal to the sum of (No. completed other forms of TPT, Already on ART+No. discontinued +No. Lost to Follow up  +No. died  +No. transferred out after initiation on other forms of TPT  )"&amp;CHAR(10),""),IF(M197&lt;&gt;SUM(M199,M201,M203,M205,M207)," * No. Initiated on other forms of TPT 3 Months Ago Already on ART  for Age "&amp;L20&amp;" "&amp;M21&amp;" is not equal to the sum of No. completed other forms of TPT, Already on ART+No. discontinued +No. Lost to Follow up  +No. died  +No. transferred out after initiation on other forms of TPT  "&amp;CHAR(10),""),IF(N197&lt;&gt;SUM(N199,N201,N203,N205,N207)," * No. Initiated on other forms of TPT 3 Months Ago Already on ART  for Age "&amp;N20&amp;" "&amp;N21&amp;" is not equal to the sum of (No. completed other forms of TPT, Already on ART+No. discontinued +No. Lost to Follow up  +No. died  +No. transferred out after initiation on other forms of TPT  )"&amp;CHAR(10),""),IF(O197&lt;&gt;SUM(O199,O201,O203,O205,O207)," * No. Initiated on other forms of TPT 3 Months Ago Already on ART  for Age "&amp;N20&amp;" "&amp;O21&amp;" is not equal to the sum of No. completed other forms of TPT, Already on ART+No. discontinued +No. Lost to Follow up  +No. died  +No. transferred out after initiation on other forms of TPT  "&amp;CHAR(10),""),IF(P197&lt;&gt;SUM(P199,P201,P203,P205,P207)," * No. Initiated on other forms of TPT 3 Months Ago Already on ART  for Age "&amp;P20&amp;" "&amp;P21&amp;" is not equal to the sum of (No. completed other forms of TPT, Already on ART+No. discontinued +No. Lost to Follow up  +No. died  +No. transferred out after initiation on other forms of TPT  )"&amp;CHAR(10),""),IF(Q197&lt;&gt;SUM(Q199,Q201,Q203,Q205,Q207)," * No. Initiated on other forms of TPT 3 Months Ago Already on ART  for Age "&amp;P20&amp;" "&amp;Q21&amp;" is not equal to the sum of No. completed other forms of TPT, Already on ART+No. discontinued +No. Lost to Follow up  +No. died  +No. transferred out after initiation on other forms of TPT  "&amp;CHAR(10),""),IF(R197&lt;&gt;SUM(R199,R201,R203,R205,R207)," * No. Initiated on other forms of TPT 3 Months Ago Already on ART  for Age "&amp;R20&amp;" "&amp;R21&amp;" is not equal to the sum of (No. completed other forms of TPT, Already on ART+No. discontinued +No. Lost to Follow up  +No. died  +No. transferred out after initiation on other forms of TPT  )"&amp;CHAR(10),""),IF(S197&lt;&gt;SUM(S199,S201,S203,S205,S207)," * No. Initiated on other forms of TPT 3 Months Ago Already on ART  for Age "&amp;R20&amp;" "&amp;S21&amp;" is not equal to the sum of No. completed other forms of TPT, Already on ART+No. discontinued +No. Lost to Follow up  +No. died  +No. transferred out after initiation on other forms of TPT  "&amp;CHAR(10),""),IF(T197&lt;&gt;SUM(T199,T201,T203,T205,T207)," * No. Initiated on other forms of TPT 3 Months Ago Already on ART  for Age "&amp;T20&amp;" "&amp;T21&amp;" is not equal to the sum of (No. completed other forms of TPT, Already on ART+No. discontinued +No. Lost to Follow up  +No. died  +No. transferred out after initiation on other forms of TPT  )"&amp;CHAR(10),""),IF(U197&lt;&gt;SUM(U199,U201,U203,U205,U207)," * No. Initiated on other forms of TPT 3 Months Ago Already on ART  for Age "&amp;T20&amp;" "&amp;U21&amp;" is not equal to the sum of No. completed other forms of TPT, Already on ART+No. discontinued +No. Lost to Follow up  +No. died  +No. transferred out after initiation on other forms of TPT  "&amp;CHAR(10),""),IF(V197&lt;&gt;SUM(V199,V201,V203,V205,V207)," * No. Initiated on other forms of TPT 3 Months Ago Already on ART  for Age "&amp;V20&amp;" "&amp;V21&amp;" is not equal to the sum of (No. completed other forms of TPT, Already on ART+No. discontinued +No. Lost to Follow up  +No. died  +No. transferred out after initiation on other forms of TPT  )"&amp;CHAR(10),""),IF(W197&lt;&gt;SUM(W199,W201,W203,W205,W207)," * No. Initiated on other forms of TPT 3 Months Ago Already on ART  for Age "&amp;V20&amp;" "&amp;W21&amp;" is not equal to the sum of No. completed other forms of TPT, Already on ART+No. discontinued +No. Lost to Follow up  +No. died  +No. transferred out after initiation on other forms of TPT  "&amp;CHAR(10),""),IF(X197&lt;&gt;SUM(X199,X201,X203,X205,X207)," * No. Initiated on other forms of TPT 3 Months Ago Already on ART  for Age "&amp;X20&amp;" "&amp;X21&amp;" is not equal to the sum of (No. completed other forms of TPT, Already on ART+No. discontinued +No. Lost to Follow up  +No. died  +No. transferred out after initiation on other forms of TPT  )"&amp;CHAR(10),""),IF(Y197&lt;&gt;SUM(Y199,Y201,Y203,Y205,Y207)," * No. Initiated on other forms of TPT 3 Months Ago Already on ART  for Age "&amp;X20&amp;" "&amp;Y21&amp;" is not equal to the sum of No. completed other forms of TPT, Already on ART+No. discontinued +No. Lost to Follow up  +No. died  +No. transferred out after initiation on other forms of TPT  "&amp;CHAR(10),""),IF(Z197&lt;&gt;SUM(Z199,Z201,Z203,Z205,Z207)," * No. Initiated on other forms of TPT 3 Months Ago Already on ART  for Age "&amp;Z20&amp;" "&amp;Z21&amp;" is not equal to the sum of (No. completed other forms of TPT, Already on ART+No. discontinued +No. Lost to Follow up  +No. died  +No. transferred out after initiation on other forms of TPT  )"&amp;CHAR(10),""),IF(AA197&lt;&gt;SUM(AA199,AA201,AA203,AA205,AA207)," * No. Initiated on other forms of TPT 3 Months Ago Already on ART  for Age "&amp;Z20&amp;" "&amp;AA21&amp;" is not equal to the sum of (No. completed other forms of TPT, Already on ART+No. discontinued +No. Lost to Follow up  +No. died  +No. transferred out after initiation on other forms of TPT  )"&amp;CHAR(10),""))</f>
        <v/>
      </c>
      <c r="AL201" s="1122"/>
      <c r="AM201" s="31"/>
      <c r="AN201" s="126"/>
      <c r="AO201" s="13">
        <v>105</v>
      </c>
      <c r="AP201" s="74"/>
      <c r="AQ201" s="149"/>
    </row>
    <row r="202" spans="1:43" s="14" customFormat="1" ht="44.85" customHeight="1" x14ac:dyDescent="0.4">
      <c r="A202" s="1111" t="s">
        <v>1235</v>
      </c>
      <c r="B202" s="146" t="s">
        <v>630</v>
      </c>
      <c r="C202" s="867" t="s">
        <v>1229</v>
      </c>
      <c r="D202" s="147"/>
      <c r="E202" s="148"/>
      <c r="F202" s="148"/>
      <c r="G202" s="148"/>
      <c r="H202" s="148"/>
      <c r="I202" s="148"/>
      <c r="J202" s="148"/>
      <c r="K202" s="148"/>
      <c r="L202" s="148"/>
      <c r="M202" s="148"/>
      <c r="N202" s="148"/>
      <c r="O202" s="148"/>
      <c r="P202" s="148"/>
      <c r="Q202" s="148"/>
      <c r="R202" s="148"/>
      <c r="S202" s="148"/>
      <c r="T202" s="148"/>
      <c r="U202" s="148"/>
      <c r="V202" s="148"/>
      <c r="W202" s="148"/>
      <c r="X202" s="148"/>
      <c r="Y202" s="148"/>
      <c r="Z202" s="148"/>
      <c r="AA202" s="326"/>
      <c r="AB202" s="375"/>
      <c r="AC202" s="345"/>
      <c r="AD202" s="345"/>
      <c r="AE202" s="345"/>
      <c r="AF202" s="345"/>
      <c r="AG202" s="345"/>
      <c r="AH202" s="345"/>
      <c r="AI202" s="302"/>
      <c r="AJ202" s="188">
        <f t="shared" si="56"/>
        <v>0</v>
      </c>
      <c r="AK202" s="796"/>
      <c r="AL202" s="1122"/>
      <c r="AM202" s="31"/>
      <c r="AN202" s="126"/>
      <c r="AO202" s="13">
        <v>106</v>
      </c>
      <c r="AP202" s="74"/>
      <c r="AQ202" s="149"/>
    </row>
    <row r="203" spans="1:43" s="14" customFormat="1" ht="44.85" customHeight="1" thickBot="1" x14ac:dyDescent="0.45">
      <c r="A203" s="1112"/>
      <c r="B203" s="150" t="s">
        <v>631</v>
      </c>
      <c r="C203" s="868" t="s">
        <v>1230</v>
      </c>
      <c r="D203" s="151"/>
      <c r="E203" s="152"/>
      <c r="F203" s="152"/>
      <c r="G203" s="152"/>
      <c r="H203" s="152"/>
      <c r="I203" s="152"/>
      <c r="J203" s="152"/>
      <c r="K203" s="152"/>
      <c r="L203" s="152"/>
      <c r="M203" s="152"/>
      <c r="N203" s="152"/>
      <c r="O203" s="152"/>
      <c r="P203" s="152"/>
      <c r="Q203" s="152"/>
      <c r="R203" s="152"/>
      <c r="S203" s="152"/>
      <c r="T203" s="152"/>
      <c r="U203" s="152"/>
      <c r="V203" s="152"/>
      <c r="W203" s="152"/>
      <c r="X203" s="152"/>
      <c r="Y203" s="152"/>
      <c r="Z203" s="152"/>
      <c r="AA203" s="327"/>
      <c r="AB203" s="375"/>
      <c r="AC203" s="345"/>
      <c r="AD203" s="345"/>
      <c r="AE203" s="345"/>
      <c r="AF203" s="345"/>
      <c r="AG203" s="345"/>
      <c r="AH203" s="345"/>
      <c r="AI203" s="302"/>
      <c r="AJ203" s="192">
        <f t="shared" si="56"/>
        <v>0</v>
      </c>
      <c r="AK203" s="796"/>
      <c r="AL203" s="1122"/>
      <c r="AM203" s="31"/>
      <c r="AN203" s="126"/>
      <c r="AO203" s="13">
        <v>107</v>
      </c>
      <c r="AP203" s="74"/>
      <c r="AQ203" s="149"/>
    </row>
    <row r="204" spans="1:43" s="14" customFormat="1" ht="44.85" customHeight="1" x14ac:dyDescent="0.4">
      <c r="A204" s="1111" t="s">
        <v>1237</v>
      </c>
      <c r="B204" s="146" t="s">
        <v>630</v>
      </c>
      <c r="C204" s="867" t="s">
        <v>1231</v>
      </c>
      <c r="D204" s="147"/>
      <c r="E204" s="148"/>
      <c r="F204" s="148"/>
      <c r="G204" s="148"/>
      <c r="H204" s="148"/>
      <c r="I204" s="148"/>
      <c r="J204" s="148"/>
      <c r="K204" s="148"/>
      <c r="L204" s="148"/>
      <c r="M204" s="148"/>
      <c r="N204" s="148"/>
      <c r="O204" s="148"/>
      <c r="P204" s="148"/>
      <c r="Q204" s="148"/>
      <c r="R204" s="148"/>
      <c r="S204" s="148"/>
      <c r="T204" s="148"/>
      <c r="U204" s="148"/>
      <c r="V204" s="148"/>
      <c r="W204" s="148"/>
      <c r="X204" s="148"/>
      <c r="Y204" s="148"/>
      <c r="Z204" s="148"/>
      <c r="AA204" s="326"/>
      <c r="AB204" s="375"/>
      <c r="AC204" s="345"/>
      <c r="AD204" s="345"/>
      <c r="AE204" s="345"/>
      <c r="AF204" s="345"/>
      <c r="AG204" s="345"/>
      <c r="AH204" s="345"/>
      <c r="AI204" s="302"/>
      <c r="AJ204" s="188">
        <f t="shared" si="56"/>
        <v>0</v>
      </c>
      <c r="AK204" s="796"/>
      <c r="AL204" s="1122"/>
      <c r="AM204" s="31"/>
      <c r="AN204" s="126"/>
      <c r="AO204" s="13">
        <v>108</v>
      </c>
      <c r="AP204" s="74"/>
      <c r="AQ204" s="149"/>
    </row>
    <row r="205" spans="1:43" s="14" customFormat="1" ht="44.85" customHeight="1" thickBot="1" x14ac:dyDescent="0.45">
      <c r="A205" s="1112"/>
      <c r="B205" s="150" t="s">
        <v>631</v>
      </c>
      <c r="C205" s="868" t="s">
        <v>1232</v>
      </c>
      <c r="D205" s="151"/>
      <c r="E205" s="152"/>
      <c r="F205" s="152"/>
      <c r="G205" s="152"/>
      <c r="H205" s="152"/>
      <c r="I205" s="152"/>
      <c r="J205" s="152"/>
      <c r="K205" s="152"/>
      <c r="L205" s="152"/>
      <c r="M205" s="152"/>
      <c r="N205" s="152"/>
      <c r="O205" s="152"/>
      <c r="P205" s="152"/>
      <c r="Q205" s="152"/>
      <c r="R205" s="152"/>
      <c r="S205" s="152"/>
      <c r="T205" s="152"/>
      <c r="U205" s="152"/>
      <c r="V205" s="152"/>
      <c r="W205" s="152"/>
      <c r="X205" s="152"/>
      <c r="Y205" s="152"/>
      <c r="Z205" s="152"/>
      <c r="AA205" s="327"/>
      <c r="AB205" s="375"/>
      <c r="AC205" s="345"/>
      <c r="AD205" s="345"/>
      <c r="AE205" s="345"/>
      <c r="AF205" s="345"/>
      <c r="AG205" s="345"/>
      <c r="AH205" s="345"/>
      <c r="AI205" s="302"/>
      <c r="AJ205" s="192">
        <f t="shared" si="56"/>
        <v>0</v>
      </c>
      <c r="AK205" s="796"/>
      <c r="AL205" s="1122"/>
      <c r="AM205" s="31"/>
      <c r="AN205" s="126"/>
      <c r="AO205" s="13">
        <v>109</v>
      </c>
      <c r="AP205" s="74"/>
      <c r="AQ205" s="149"/>
    </row>
    <row r="206" spans="1:43" s="14" customFormat="1" ht="44.85" customHeight="1" x14ac:dyDescent="0.4">
      <c r="A206" s="1111" t="s">
        <v>1238</v>
      </c>
      <c r="B206" s="153" t="s">
        <v>630</v>
      </c>
      <c r="C206" s="871" t="s">
        <v>1233</v>
      </c>
      <c r="D206" s="154"/>
      <c r="E206" s="127"/>
      <c r="F206" s="127"/>
      <c r="G206" s="127"/>
      <c r="H206" s="127"/>
      <c r="I206" s="127"/>
      <c r="J206" s="127"/>
      <c r="K206" s="127"/>
      <c r="L206" s="127"/>
      <c r="M206" s="127"/>
      <c r="N206" s="127"/>
      <c r="O206" s="127"/>
      <c r="P206" s="127"/>
      <c r="Q206" s="127"/>
      <c r="R206" s="127"/>
      <c r="S206" s="127"/>
      <c r="T206" s="127"/>
      <c r="U206" s="127"/>
      <c r="V206" s="127"/>
      <c r="W206" s="127"/>
      <c r="X206" s="127"/>
      <c r="Y206" s="127"/>
      <c r="Z206" s="127"/>
      <c r="AA206" s="319"/>
      <c r="AB206" s="375"/>
      <c r="AC206" s="345"/>
      <c r="AD206" s="345"/>
      <c r="AE206" s="345"/>
      <c r="AF206" s="345"/>
      <c r="AG206" s="345"/>
      <c r="AH206" s="345"/>
      <c r="AI206" s="302"/>
      <c r="AJ206" s="52">
        <f t="shared" si="56"/>
        <v>0</v>
      </c>
      <c r="AK206" s="796"/>
      <c r="AL206" s="1122"/>
      <c r="AM206" s="31"/>
      <c r="AN206" s="126"/>
      <c r="AO206" s="13">
        <v>110</v>
      </c>
      <c r="AP206" s="74"/>
      <c r="AQ206" s="149"/>
    </row>
    <row r="207" spans="1:43" s="14" customFormat="1" ht="44.85" customHeight="1" thickBot="1" x14ac:dyDescent="0.45">
      <c r="A207" s="1113"/>
      <c r="B207" s="155" t="s">
        <v>631</v>
      </c>
      <c r="C207" s="870" t="s">
        <v>1234</v>
      </c>
      <c r="D207" s="156"/>
      <c r="E207" s="157"/>
      <c r="F207" s="157"/>
      <c r="G207" s="157"/>
      <c r="H207" s="157"/>
      <c r="I207" s="157"/>
      <c r="J207" s="157"/>
      <c r="K207" s="157"/>
      <c r="L207" s="157"/>
      <c r="M207" s="157"/>
      <c r="N207" s="157"/>
      <c r="O207" s="157"/>
      <c r="P207" s="157"/>
      <c r="Q207" s="157"/>
      <c r="R207" s="157"/>
      <c r="S207" s="157"/>
      <c r="T207" s="157"/>
      <c r="U207" s="157"/>
      <c r="V207" s="157"/>
      <c r="W207" s="157"/>
      <c r="X207" s="157"/>
      <c r="Y207" s="157"/>
      <c r="Z207" s="157"/>
      <c r="AA207" s="328"/>
      <c r="AB207" s="375"/>
      <c r="AC207" s="345"/>
      <c r="AD207" s="345"/>
      <c r="AE207" s="345"/>
      <c r="AF207" s="345"/>
      <c r="AG207" s="345"/>
      <c r="AH207" s="345"/>
      <c r="AI207" s="302"/>
      <c r="AJ207" s="380">
        <f t="shared" si="56"/>
        <v>0</v>
      </c>
      <c r="AK207" s="122"/>
      <c r="AL207" s="1123"/>
      <c r="AM207" s="123"/>
      <c r="AN207" s="126"/>
      <c r="AO207" s="13">
        <v>111</v>
      </c>
      <c r="AP207" s="74"/>
      <c r="AQ207" s="149"/>
    </row>
    <row r="208" spans="1:43" ht="27" thickBot="1" x14ac:dyDescent="0.45">
      <c r="A208" s="1120" t="s">
        <v>113</v>
      </c>
      <c r="B208" s="1118"/>
      <c r="C208" s="1118"/>
      <c r="D208" s="1115"/>
      <c r="E208" s="1115"/>
      <c r="F208" s="1115"/>
      <c r="G208" s="1115"/>
      <c r="H208" s="1115"/>
      <c r="I208" s="1115"/>
      <c r="J208" s="1115"/>
      <c r="K208" s="1115"/>
      <c r="L208" s="1115"/>
      <c r="M208" s="1115"/>
      <c r="N208" s="1115"/>
      <c r="O208" s="1115"/>
      <c r="P208" s="1115"/>
      <c r="Q208" s="1115"/>
      <c r="R208" s="1115"/>
      <c r="S208" s="1115"/>
      <c r="T208" s="1115"/>
      <c r="U208" s="1115"/>
      <c r="V208" s="1115"/>
      <c r="W208" s="1115"/>
      <c r="X208" s="1115"/>
      <c r="Y208" s="1115"/>
      <c r="Z208" s="1115"/>
      <c r="AA208" s="1115"/>
      <c r="AB208" s="1117"/>
      <c r="AC208" s="1117"/>
      <c r="AD208" s="1117"/>
      <c r="AE208" s="1117"/>
      <c r="AF208" s="1117"/>
      <c r="AG208" s="1117"/>
      <c r="AH208" s="1117"/>
      <c r="AI208" s="1117"/>
      <c r="AJ208" s="1118"/>
      <c r="AK208" s="1118"/>
      <c r="AL208" s="1118"/>
      <c r="AM208" s="1118"/>
      <c r="AN208" s="1119"/>
      <c r="AO208" s="13">
        <v>112</v>
      </c>
      <c r="AP208" s="74"/>
      <c r="AQ208" s="75"/>
    </row>
    <row r="209" spans="1:43" ht="26.25" customHeight="1" x14ac:dyDescent="0.4">
      <c r="A209" s="1164" t="s">
        <v>36</v>
      </c>
      <c r="B209" s="1189" t="s">
        <v>321</v>
      </c>
      <c r="C209" s="1269" t="s">
        <v>305</v>
      </c>
      <c r="D209" s="1194"/>
      <c r="E209" s="1195"/>
      <c r="F209" s="1195"/>
      <c r="G209" s="1195"/>
      <c r="H209" s="1195"/>
      <c r="I209" s="1195"/>
      <c r="J209" s="1195"/>
      <c r="K209" s="1195"/>
      <c r="L209" s="1256" t="s">
        <v>4</v>
      </c>
      <c r="M209" s="1139"/>
      <c r="N209" s="1139" t="s">
        <v>5</v>
      </c>
      <c r="O209" s="1139"/>
      <c r="P209" s="1139" t="s">
        <v>6</v>
      </c>
      <c r="Q209" s="1139"/>
      <c r="R209" s="1139" t="s">
        <v>7</v>
      </c>
      <c r="S209" s="1139"/>
      <c r="T209" s="1139" t="s">
        <v>8</v>
      </c>
      <c r="U209" s="1139"/>
      <c r="V209" s="1139" t="s">
        <v>23</v>
      </c>
      <c r="W209" s="1139"/>
      <c r="X209" s="1139" t="s">
        <v>24</v>
      </c>
      <c r="Y209" s="1139"/>
      <c r="Z209" s="1139" t="s">
        <v>9</v>
      </c>
      <c r="AA209" s="1140"/>
      <c r="AB209" s="1140" t="s">
        <v>963</v>
      </c>
      <c r="AC209" s="1184"/>
      <c r="AD209" s="1140" t="s">
        <v>964</v>
      </c>
      <c r="AE209" s="1184"/>
      <c r="AF209" s="1140" t="s">
        <v>1127</v>
      </c>
      <c r="AG209" s="1184"/>
      <c r="AH209" s="1140" t="s">
        <v>1128</v>
      </c>
      <c r="AI209" s="1184"/>
      <c r="AJ209" s="1152" t="s">
        <v>19</v>
      </c>
      <c r="AK209" s="1154" t="s">
        <v>354</v>
      </c>
      <c r="AL209" s="1137" t="s">
        <v>360</v>
      </c>
      <c r="AM209" s="1132" t="s">
        <v>361</v>
      </c>
      <c r="AN209" s="1127" t="s">
        <v>361</v>
      </c>
      <c r="AO209" s="13">
        <v>113</v>
      </c>
      <c r="AP209" s="74"/>
      <c r="AQ209" s="75"/>
    </row>
    <row r="210" spans="1:43" ht="27" customHeight="1" thickBot="1" x14ac:dyDescent="0.45">
      <c r="A210" s="1165"/>
      <c r="B210" s="1190"/>
      <c r="C210" s="1270"/>
      <c r="D210" s="1196"/>
      <c r="E210" s="1197"/>
      <c r="F210" s="1197"/>
      <c r="G210" s="1197"/>
      <c r="H210" s="1197"/>
      <c r="I210" s="1197"/>
      <c r="J210" s="1197"/>
      <c r="K210" s="1197"/>
      <c r="L210" s="608" t="s">
        <v>10</v>
      </c>
      <c r="M210" s="68" t="s">
        <v>11</v>
      </c>
      <c r="N210" s="68" t="s">
        <v>10</v>
      </c>
      <c r="O210" s="68" t="s">
        <v>11</v>
      </c>
      <c r="P210" s="68" t="s">
        <v>10</v>
      </c>
      <c r="Q210" s="68" t="s">
        <v>11</v>
      </c>
      <c r="R210" s="68" t="s">
        <v>10</v>
      </c>
      <c r="S210" s="68" t="s">
        <v>11</v>
      </c>
      <c r="T210" s="68" t="s">
        <v>10</v>
      </c>
      <c r="U210" s="68" t="s">
        <v>11</v>
      </c>
      <c r="V210" s="68" t="s">
        <v>10</v>
      </c>
      <c r="W210" s="68" t="s">
        <v>11</v>
      </c>
      <c r="X210" s="68" t="s">
        <v>10</v>
      </c>
      <c r="Y210" s="68" t="s">
        <v>11</v>
      </c>
      <c r="Z210" s="68" t="s">
        <v>10</v>
      </c>
      <c r="AA210" s="357" t="s">
        <v>11</v>
      </c>
      <c r="AB210" s="68" t="s">
        <v>10</v>
      </c>
      <c r="AC210" s="68" t="s">
        <v>11</v>
      </c>
      <c r="AD210" s="68" t="s">
        <v>10</v>
      </c>
      <c r="AE210" s="68" t="s">
        <v>11</v>
      </c>
      <c r="AF210" s="68" t="s">
        <v>10</v>
      </c>
      <c r="AG210" s="68" t="s">
        <v>11</v>
      </c>
      <c r="AH210" s="68" t="s">
        <v>10</v>
      </c>
      <c r="AI210" s="609" t="s">
        <v>11</v>
      </c>
      <c r="AJ210" s="1153"/>
      <c r="AK210" s="1155"/>
      <c r="AL210" s="1138"/>
      <c r="AM210" s="1132"/>
      <c r="AN210" s="1128"/>
      <c r="AO210" s="13">
        <v>114</v>
      </c>
      <c r="AP210" s="74"/>
      <c r="AQ210" s="75"/>
    </row>
    <row r="211" spans="1:43" ht="26.25" customHeight="1" x14ac:dyDescent="0.4">
      <c r="A211" s="1410" t="s">
        <v>1299</v>
      </c>
      <c r="B211" s="69" t="s">
        <v>632</v>
      </c>
      <c r="C211" s="578" t="s">
        <v>332</v>
      </c>
      <c r="D211" s="70"/>
      <c r="E211" s="71"/>
      <c r="F211" s="71"/>
      <c r="G211" s="71"/>
      <c r="H211" s="71"/>
      <c r="I211" s="71"/>
      <c r="J211" s="71"/>
      <c r="K211" s="71"/>
      <c r="L211" s="71"/>
      <c r="M211" s="72"/>
      <c r="N211" s="71"/>
      <c r="O211" s="72"/>
      <c r="P211" s="71"/>
      <c r="Q211" s="72"/>
      <c r="R211" s="71"/>
      <c r="S211" s="72"/>
      <c r="T211" s="71"/>
      <c r="U211" s="72"/>
      <c r="V211" s="71"/>
      <c r="W211" s="72"/>
      <c r="X211" s="158"/>
      <c r="Y211" s="72"/>
      <c r="Z211" s="598"/>
      <c r="AA211" s="607">
        <f>SUM(AC211,AE211,AG211,AI211)</f>
        <v>0</v>
      </c>
      <c r="AB211" s="602"/>
      <c r="AC211" s="306"/>
      <c r="AD211" s="158"/>
      <c r="AE211" s="306"/>
      <c r="AF211" s="158"/>
      <c r="AG211" s="306"/>
      <c r="AH211" s="158"/>
      <c r="AI211" s="306"/>
      <c r="AJ211" s="52">
        <f>SUM(D211:AA211)</f>
        <v>0</v>
      </c>
      <c r="AK211" s="139"/>
      <c r="AL211" s="1257" t="str">
        <f>CONCATENATE(AK211,AK212,AK213,AK216,AK217,AK218,AK219,AK220,AK221,AK224,AK225,AK226,AK227,AK228,AK229,AK232,AK233,AK234,AK214,AK215,AK222,AK223,AK230,AK231)</f>
        <v/>
      </c>
      <c r="AM211" s="73"/>
      <c r="AN211" s="1133" t="str">
        <f>CONCATENATE(AM211,AM212,AM213,AM216,AM217,AM218,AM219,AM220,AM221,AM224,AM225,AM226,AM227,AM228,AM229,AM232,AM233,AM234)</f>
        <v/>
      </c>
      <c r="AO211" s="13">
        <v>115</v>
      </c>
      <c r="AP211" s="74"/>
      <c r="AQ211" s="75"/>
    </row>
    <row r="212" spans="1:43" ht="26.25" x14ac:dyDescent="0.4">
      <c r="A212" s="1411"/>
      <c r="B212" s="76" t="s">
        <v>138</v>
      </c>
      <c r="C212" s="559" t="s">
        <v>202</v>
      </c>
      <c r="D212" s="77"/>
      <c r="E212" s="78"/>
      <c r="F212" s="78"/>
      <c r="G212" s="78"/>
      <c r="H212" s="78"/>
      <c r="I212" s="78"/>
      <c r="J212" s="78"/>
      <c r="K212" s="78"/>
      <c r="L212" s="78"/>
      <c r="M212" s="79"/>
      <c r="N212" s="78"/>
      <c r="O212" s="79"/>
      <c r="P212" s="78"/>
      <c r="Q212" s="79"/>
      <c r="R212" s="78"/>
      <c r="S212" s="79"/>
      <c r="T212" s="78"/>
      <c r="U212" s="79"/>
      <c r="V212" s="78"/>
      <c r="W212" s="79"/>
      <c r="X212" s="159"/>
      <c r="Y212" s="79"/>
      <c r="Z212" s="599"/>
      <c r="AA212" s="606">
        <f t="shared" ref="AA212:AA234" si="57">SUM(AC212,AE212,AG212,AI212)</f>
        <v>0</v>
      </c>
      <c r="AB212" s="603"/>
      <c r="AC212" s="307"/>
      <c r="AD212" s="159"/>
      <c r="AE212" s="307"/>
      <c r="AF212" s="159"/>
      <c r="AG212" s="307"/>
      <c r="AH212" s="159"/>
      <c r="AI212" s="307"/>
      <c r="AJ212" s="173">
        <f t="shared" ref="AJ212:AJ234" si="58">SUM(D212:AA212)</f>
        <v>0</v>
      </c>
      <c r="AK212" s="116" t="str">
        <f>CONCATENATE(IF(D214&lt;SUM(D215,D216,D217,D218)," * First Time Screening , Total CXCA Screening positive for Age "&amp;D20&amp;" "&amp;D21&amp;" should be greater than or equal to  the sum of (Cryotherapy , Leep , Thermocoagulation and Reffered for treatment)"&amp;CHAR(10),""),IF(E214&lt;SUM(E215,E216,E217,E218)," * First Time Screening , Total CXCA Screening positive for Age "&amp;D20&amp;" "&amp;E21&amp;" should be greater than or equal to  the sum of (Cryotherapy , Leep , Thermocoagulation and Reffered for treatment)"&amp;CHAR(10),""),IF(F214&lt;SUM(F215,F216,F217,F218)," * First Time Screening , Total CXCA Screening positive for Age "&amp;F20&amp;" "&amp;F21&amp;" should be greater than or equal to  the sum of (Cryotherapy , Leep , Thermocoagulation and Reffered for treatment)"&amp;CHAR(10),""),IF(G214&lt;SUM(G215,G216,G217,G218)," * First Time Screening , Total CXCA Screening positive for Age "&amp;F20&amp;" "&amp;G21&amp;" should be greater than or equal to  the sum of (Cryotherapy , Leep , Thermocoagulation and Reffered for treatment)"&amp;CHAR(10),""),IF(H214&lt;SUM(H215,H216,H217,H218)," * First Time Screening , Total CXCA Screening positive for Age "&amp;H20&amp;" "&amp;H21&amp;" should be greater than or equal to  the sum of (Cryotherapy , Leep , Thermocoagulation and Reffered for treatment)"&amp;CHAR(10),""),IF(I214&lt;SUM(I215,I216,I217,I218)," * First Time Screening , Total CXCA Screening positive for Age "&amp;H20&amp;" "&amp;I21&amp;" should be greater than or equal to  the sum of (Cryotherapy , Leep , Thermocoagulation and Reffered for treatment)"&amp;CHAR(10),""),IF(J214&lt;SUM(J215,J216,J217,J218)," * First Time Screening , Total CXCA Screening positive for Age "&amp;J20&amp;" "&amp;J21&amp;" should be greater than or equal to  the sum of (Cryotherapy , Leep , Thermocoagulation and Reffered for treatment)"&amp;CHAR(10),""),IF(K214&lt;SUM(K215,K216,K217,K218)," * First Time Screening , Total CXCA Screening positive for Age "&amp;J20&amp;" "&amp;K21&amp;" should be greater than or equal to  the sum of (Cryotherapy , Leep , Thermocoagulation and Reffered for treatment)"&amp;CHAR(10),""),IF(L214&lt;SUM(L215,L216,L217,L218)," * First Time Screening , Total CXCA Screening positive for Age "&amp;L20&amp;" "&amp;L21&amp;" should be greater than or equal to  the sum of (Cryotherapy , Leep , Thermocoagulation and Reffered for treatment)"&amp;CHAR(10),""),IF(M214&lt;SUM(M215,M216,M217,M218)," * First Time Screening , Total CXCA Screening positive for Age "&amp;L20&amp;" "&amp;M21&amp;" should be greater than or equal to  the sum of (Cryotherapy , Leep , Thermocoagulation and Reffered for treatment)"&amp;CHAR(10),""),IF(N214&lt;SUM(N215,N216,N217,N218)," * First Time Screening , Total CXCA Screening positive for Age "&amp;N20&amp;" "&amp;N21&amp;" should be greater than or equal to  the sum of (Cryotherapy , Leep , Thermocoagulation and Reffered for treatment)"&amp;CHAR(10),""),IF(O214&lt;SUM(O215,O216,O217,O218)," * First Time Screening , Total CXCA Screening positive for Age "&amp;N20&amp;" "&amp;O21&amp;" should be greater than or equal to  the sum of (Cryotherapy , Leep , Thermocoagulation and Reffered for treatment)"&amp;CHAR(10),""),IF(P214&lt;SUM(P215,P216,P217,P218)," * First Time Screening , Total CXCA Screening positive for Age "&amp;P20&amp;" "&amp;P21&amp;" should be greater than or equal to  the sum of (Cryotherapy , Leep , Thermocoagulation and Reffered for treatment)"&amp;CHAR(10),""),IF(Q214&lt;SUM(Q215,Q216,Q217,Q218)," * First Time Screening , Total CXCA Screening positive for Age "&amp;P20&amp;" "&amp;Q21&amp;" should be greater than or equal to  the sum of (Cryotherapy , Leep , Thermocoagulation and Reffered for treatment)"&amp;CHAR(10),""),IF(R214&lt;SUM(R215,R216,R217,R218)," * First Time Screening , Total CXCA Screening positive for Age "&amp;R20&amp;" "&amp;R21&amp;" should be greater than or equal to  the sum of (Cryotherapy , Leep , Thermocoagulation and Reffered for treatment)"&amp;CHAR(10),""),IF(S214&lt;SUM(S215,S216,S217,S218)," * First Time Screening , Total CXCA Screening positive for Age "&amp;R20&amp;" "&amp;S21&amp;" should be greater than or equal to  the sum of (Cryotherapy , Leep , Thermocoagulation and Reffered for treatment)"&amp;CHAR(10),""),IF(T214&lt;SUM(T215,T216,T217,T218)," * First Time Screening , Total CXCA Screening positive for Age "&amp;T20&amp;" "&amp;T21&amp;" should be greater than or equal to  the sum of (Cryotherapy , Leep , Thermocoagulation and Reffered for treatment)"&amp;CHAR(10),""),IF(U214&lt;SUM(U215,U216,U217,U218)," * First Time Screening , Total CXCA Screening positive for Age "&amp;T20&amp;" "&amp;U21&amp;" should be greater than or equal to  the sum of (Cryotherapy , Leep , Thermocoagulation and Reffered for treatment)"&amp;CHAR(10),""),IF(V214&lt;SUM(V215,V216,V217,V218)," * First Time Screening , Total CXCA Screening positive for Age "&amp;V20&amp;" "&amp;V21&amp;" should be greater than or equal to  the sum of (Cryotherapy , Leep , Thermocoagulation and Reffered for treatment)"&amp;CHAR(10),""),IF(W214&lt;SUM(W215,W216,W217,W218)," * First Time Screening , Total CXCA Screening positive for Age "&amp;V20&amp;" "&amp;W21&amp;" should be greater than or equal to  the sum of (Cryotherapy , Leep , Thermocoagulation and Reffered for treatment)"&amp;CHAR(10),""),IF(X214&lt;SUM(X215,X216,X217,X218)," * First Time Screening , Total CXCA Screening positive for Age "&amp;X20&amp;" "&amp;X21&amp;" should be greater than or equal to  the sum of (Cryotherapy , Leep , Thermocoagulation and Reffered for treatment)"&amp;CHAR(10),""),IF(Y214&lt;SUM(Y215,Y216,Y217,Y218)," * First Time Screening , Total CXCA Screening positive for Age "&amp;X20&amp;" "&amp;Y21&amp;" should be greater than or equal to  the sum of (Cryotherapy , Leep , Thermocoagulation and Reffered for treatment)"&amp;CHAR(10),""),IF(Z214&lt;SUM(Z215,Z216,Z217,Z218)," * First Time Screening , Total CXCA Screening positive for Age "&amp;Z20&amp;" "&amp;Z21&amp;" should be greater than or equal to  the sum of (Cryotherapy , Leep , Thermocoagulation and Reffered for treatment)"&amp;CHAR(10),""),IF(AA214&lt;SUM(AA215,AA216,AA217,AA218)," * First Time Screening , Total CXCA Screening positive for Age "&amp;Z20&amp;" "&amp;AA21&amp;" should be greater than or equal to  the sum of (Cryotherapy , Leep , Thermocoagulation and Reffered for treatment)"&amp;CHAR(10),""))</f>
        <v/>
      </c>
      <c r="AL212" s="1258"/>
      <c r="AM212" s="31"/>
      <c r="AN212" s="1134"/>
      <c r="AO212" s="13">
        <v>116</v>
      </c>
      <c r="AP212" s="74"/>
      <c r="AQ212" s="75"/>
    </row>
    <row r="213" spans="1:43" ht="26.25" x14ac:dyDescent="0.4">
      <c r="A213" s="1411"/>
      <c r="B213" s="76" t="s">
        <v>633</v>
      </c>
      <c r="C213" s="559" t="s">
        <v>333</v>
      </c>
      <c r="D213" s="77"/>
      <c r="E213" s="78"/>
      <c r="F213" s="78"/>
      <c r="G213" s="78"/>
      <c r="H213" s="78"/>
      <c r="I213" s="78"/>
      <c r="J213" s="78"/>
      <c r="K213" s="78"/>
      <c r="L213" s="78"/>
      <c r="M213" s="79"/>
      <c r="N213" s="78"/>
      <c r="O213" s="79"/>
      <c r="P213" s="78"/>
      <c r="Q213" s="79"/>
      <c r="R213" s="78"/>
      <c r="S213" s="79"/>
      <c r="T213" s="78"/>
      <c r="U213" s="79"/>
      <c r="V213" s="78"/>
      <c r="W213" s="79"/>
      <c r="X213" s="159"/>
      <c r="Y213" s="79"/>
      <c r="Z213" s="599"/>
      <c r="AA213" s="606">
        <f t="shared" si="57"/>
        <v>0</v>
      </c>
      <c r="AB213" s="603"/>
      <c r="AC213" s="307"/>
      <c r="AD213" s="159"/>
      <c r="AE213" s="307"/>
      <c r="AF213" s="159"/>
      <c r="AG213" s="307"/>
      <c r="AH213" s="159"/>
      <c r="AI213" s="307"/>
      <c r="AJ213" s="173">
        <f t="shared" si="58"/>
        <v>0</v>
      </c>
      <c r="AK213" s="116"/>
      <c r="AL213" s="1258"/>
      <c r="AM213" s="31"/>
      <c r="AN213" s="1134"/>
      <c r="AO213" s="13">
        <v>117</v>
      </c>
      <c r="AP213" s="74"/>
      <c r="AQ213" s="75"/>
    </row>
    <row r="214" spans="1:43" ht="26.25" x14ac:dyDescent="0.4">
      <c r="A214" s="1412"/>
      <c r="B214" s="160" t="s">
        <v>807</v>
      </c>
      <c r="C214" s="559" t="s">
        <v>808</v>
      </c>
      <c r="D214" s="77"/>
      <c r="E214" s="78"/>
      <c r="F214" s="78"/>
      <c r="G214" s="78"/>
      <c r="H214" s="78"/>
      <c r="I214" s="78"/>
      <c r="J214" s="78"/>
      <c r="K214" s="78"/>
      <c r="L214" s="78"/>
      <c r="M214" s="161">
        <f>M213+M212</f>
        <v>0</v>
      </c>
      <c r="N214" s="162"/>
      <c r="O214" s="161">
        <f>O213+O212</f>
        <v>0</v>
      </c>
      <c r="P214" s="78"/>
      <c r="Q214" s="161">
        <f>Q213+Q212</f>
        <v>0</v>
      </c>
      <c r="R214" s="78"/>
      <c r="S214" s="161">
        <f>S213+S212</f>
        <v>0</v>
      </c>
      <c r="T214" s="78"/>
      <c r="U214" s="161">
        <f>U213+U212</f>
        <v>0</v>
      </c>
      <c r="V214" s="78"/>
      <c r="W214" s="161">
        <f>W213+W212</f>
        <v>0</v>
      </c>
      <c r="X214" s="159"/>
      <c r="Y214" s="161">
        <f>Y213+Y212</f>
        <v>0</v>
      </c>
      <c r="Z214" s="599"/>
      <c r="AA214" s="606">
        <f t="shared" si="57"/>
        <v>0</v>
      </c>
      <c r="AB214" s="603"/>
      <c r="AC214" s="329">
        <f>AC213+AC212</f>
        <v>0</v>
      </c>
      <c r="AD214" s="159"/>
      <c r="AE214" s="329">
        <f>AE213+AE212</f>
        <v>0</v>
      </c>
      <c r="AF214" s="159"/>
      <c r="AG214" s="329">
        <f>AG213+AG212</f>
        <v>0</v>
      </c>
      <c r="AH214" s="159"/>
      <c r="AI214" s="329">
        <f>AI213+AI212</f>
        <v>0</v>
      </c>
      <c r="AJ214" s="173">
        <f t="shared" si="58"/>
        <v>0</v>
      </c>
      <c r="AK214" s="116"/>
      <c r="AL214" s="1258"/>
      <c r="AM214" s="31"/>
      <c r="AN214" s="1134"/>
      <c r="AO214" s="13">
        <v>118</v>
      </c>
      <c r="AP214" s="74"/>
      <c r="AQ214" s="75"/>
    </row>
    <row r="215" spans="1:43" ht="26.25" x14ac:dyDescent="0.4">
      <c r="A215" s="1413" t="s">
        <v>1300</v>
      </c>
      <c r="B215" s="163" t="s">
        <v>1247</v>
      </c>
      <c r="C215" s="559" t="s">
        <v>937</v>
      </c>
      <c r="D215" s="77"/>
      <c r="E215" s="78"/>
      <c r="F215" s="78"/>
      <c r="G215" s="78"/>
      <c r="H215" s="78"/>
      <c r="I215" s="78"/>
      <c r="J215" s="78"/>
      <c r="K215" s="78"/>
      <c r="L215" s="78"/>
      <c r="M215" s="164"/>
      <c r="N215" s="162"/>
      <c r="O215" s="164"/>
      <c r="P215" s="78"/>
      <c r="Q215" s="164"/>
      <c r="R215" s="78"/>
      <c r="S215" s="164"/>
      <c r="T215" s="78"/>
      <c r="U215" s="164"/>
      <c r="V215" s="78"/>
      <c r="W215" s="164"/>
      <c r="X215" s="159"/>
      <c r="Y215" s="164"/>
      <c r="Z215" s="599"/>
      <c r="AA215" s="606">
        <f>SUM(AC215,AE215,AG215,AI215)</f>
        <v>0</v>
      </c>
      <c r="AB215" s="603"/>
      <c r="AC215" s="330"/>
      <c r="AD215" s="159"/>
      <c r="AE215" s="330"/>
      <c r="AF215" s="159"/>
      <c r="AG215" s="330"/>
      <c r="AH215" s="159"/>
      <c r="AI215" s="330"/>
      <c r="AJ215" s="173">
        <f t="shared" si="58"/>
        <v>0</v>
      </c>
      <c r="AK215" s="116"/>
      <c r="AL215" s="1258"/>
      <c r="AM215" s="31"/>
      <c r="AN215" s="1134"/>
      <c r="AO215" s="13">
        <v>119</v>
      </c>
      <c r="AP215" s="74"/>
      <c r="AQ215" s="75"/>
    </row>
    <row r="216" spans="1:43" ht="26.25" x14ac:dyDescent="0.4">
      <c r="A216" s="1411"/>
      <c r="B216" s="76" t="s">
        <v>634</v>
      </c>
      <c r="C216" s="559" t="s">
        <v>207</v>
      </c>
      <c r="D216" s="77"/>
      <c r="E216" s="78"/>
      <c r="F216" s="78"/>
      <c r="G216" s="78"/>
      <c r="H216" s="78"/>
      <c r="I216" s="78"/>
      <c r="J216" s="78"/>
      <c r="K216" s="78"/>
      <c r="L216" s="78"/>
      <c r="M216" s="79"/>
      <c r="N216" s="78"/>
      <c r="O216" s="79"/>
      <c r="P216" s="78"/>
      <c r="Q216" s="79"/>
      <c r="R216" s="78"/>
      <c r="S216" s="79"/>
      <c r="T216" s="78"/>
      <c r="U216" s="79"/>
      <c r="V216" s="78"/>
      <c r="W216" s="79"/>
      <c r="X216" s="159"/>
      <c r="Y216" s="79"/>
      <c r="Z216" s="599"/>
      <c r="AA216" s="606">
        <f t="shared" si="57"/>
        <v>0</v>
      </c>
      <c r="AB216" s="603"/>
      <c r="AC216" s="307"/>
      <c r="AD216" s="159"/>
      <c r="AE216" s="307"/>
      <c r="AF216" s="159"/>
      <c r="AG216" s="307"/>
      <c r="AH216" s="159"/>
      <c r="AI216" s="307"/>
      <c r="AJ216" s="173">
        <f t="shared" si="58"/>
        <v>0</v>
      </c>
      <c r="AK216" s="116"/>
      <c r="AL216" s="1258"/>
      <c r="AM216" s="31"/>
      <c r="AN216" s="1134"/>
      <c r="AO216" s="13">
        <v>120</v>
      </c>
      <c r="AP216" s="74"/>
      <c r="AQ216" s="75"/>
    </row>
    <row r="217" spans="1:43" ht="26.25" x14ac:dyDescent="0.4">
      <c r="A217" s="1411"/>
      <c r="B217" s="76" t="s">
        <v>635</v>
      </c>
      <c r="C217" s="559" t="s">
        <v>208</v>
      </c>
      <c r="D217" s="77"/>
      <c r="E217" s="78"/>
      <c r="F217" s="78"/>
      <c r="G217" s="78"/>
      <c r="H217" s="78"/>
      <c r="I217" s="78"/>
      <c r="J217" s="78"/>
      <c r="K217" s="78"/>
      <c r="L217" s="78"/>
      <c r="M217" s="79"/>
      <c r="N217" s="78"/>
      <c r="O217" s="79"/>
      <c r="P217" s="78"/>
      <c r="Q217" s="79"/>
      <c r="R217" s="78"/>
      <c r="S217" s="79"/>
      <c r="T217" s="78"/>
      <c r="U217" s="79"/>
      <c r="V217" s="78"/>
      <c r="W217" s="79"/>
      <c r="X217" s="159"/>
      <c r="Y217" s="79"/>
      <c r="Z217" s="599"/>
      <c r="AA217" s="606">
        <f t="shared" si="57"/>
        <v>0</v>
      </c>
      <c r="AB217" s="603"/>
      <c r="AC217" s="307"/>
      <c r="AD217" s="159"/>
      <c r="AE217" s="307"/>
      <c r="AF217" s="159"/>
      <c r="AG217" s="307"/>
      <c r="AH217" s="159"/>
      <c r="AI217" s="307"/>
      <c r="AJ217" s="173">
        <f t="shared" si="58"/>
        <v>0</v>
      </c>
      <c r="AK217" s="116"/>
      <c r="AL217" s="1258"/>
      <c r="AM217" s="31"/>
      <c r="AN217" s="1134"/>
      <c r="AO217" s="13">
        <v>121</v>
      </c>
      <c r="AP217" s="74"/>
      <c r="AQ217" s="75"/>
    </row>
    <row r="218" spans="1:43" ht="27" thickBot="1" x14ac:dyDescent="0.45">
      <c r="A218" s="1414"/>
      <c r="B218" s="87" t="s">
        <v>636</v>
      </c>
      <c r="C218" s="560" t="s">
        <v>209</v>
      </c>
      <c r="D218" s="103"/>
      <c r="E218" s="102"/>
      <c r="F218" s="102"/>
      <c r="G218" s="102"/>
      <c r="H218" s="102"/>
      <c r="I218" s="102"/>
      <c r="J218" s="102"/>
      <c r="K218" s="102"/>
      <c r="L218" s="102"/>
      <c r="M218" s="89"/>
      <c r="N218" s="102"/>
      <c r="O218" s="89"/>
      <c r="P218" s="102"/>
      <c r="Q218" s="89"/>
      <c r="R218" s="102"/>
      <c r="S218" s="89"/>
      <c r="T218" s="102"/>
      <c r="U218" s="89"/>
      <c r="V218" s="102"/>
      <c r="W218" s="89"/>
      <c r="X218" s="165"/>
      <c r="Y218" s="89"/>
      <c r="Z218" s="600"/>
      <c r="AA218" s="606">
        <f t="shared" si="57"/>
        <v>0</v>
      </c>
      <c r="AB218" s="604"/>
      <c r="AC218" s="309"/>
      <c r="AD218" s="165"/>
      <c r="AE218" s="309"/>
      <c r="AF218" s="165"/>
      <c r="AG218" s="309"/>
      <c r="AH218" s="165"/>
      <c r="AI218" s="309"/>
      <c r="AJ218" s="192">
        <f t="shared" si="58"/>
        <v>0</v>
      </c>
      <c r="AK218" s="116"/>
      <c r="AL218" s="1258"/>
      <c r="AM218" s="31"/>
      <c r="AN218" s="1134"/>
      <c r="AO218" s="13">
        <v>122</v>
      </c>
      <c r="AP218" s="74"/>
      <c r="AQ218" s="75"/>
    </row>
    <row r="219" spans="1:43" ht="26.25" customHeight="1" x14ac:dyDescent="0.4">
      <c r="A219" s="1410" t="s">
        <v>1297</v>
      </c>
      <c r="B219" s="91" t="s">
        <v>632</v>
      </c>
      <c r="C219" s="558" t="s">
        <v>334</v>
      </c>
      <c r="D219" s="98"/>
      <c r="E219" s="99"/>
      <c r="F219" s="99"/>
      <c r="G219" s="99"/>
      <c r="H219" s="99"/>
      <c r="I219" s="99"/>
      <c r="J219" s="99"/>
      <c r="K219" s="99"/>
      <c r="L219" s="99"/>
      <c r="M219" s="94"/>
      <c r="N219" s="99"/>
      <c r="O219" s="94"/>
      <c r="P219" s="99"/>
      <c r="Q219" s="94"/>
      <c r="R219" s="99"/>
      <c r="S219" s="94"/>
      <c r="T219" s="99"/>
      <c r="U219" s="94"/>
      <c r="V219" s="99"/>
      <c r="W219" s="94"/>
      <c r="X219" s="166"/>
      <c r="Y219" s="94"/>
      <c r="Z219" s="601"/>
      <c r="AA219" s="606">
        <f t="shared" si="57"/>
        <v>0</v>
      </c>
      <c r="AB219" s="605"/>
      <c r="AC219" s="310"/>
      <c r="AD219" s="166"/>
      <c r="AE219" s="310"/>
      <c r="AF219" s="166"/>
      <c r="AG219" s="310"/>
      <c r="AH219" s="166"/>
      <c r="AI219" s="310"/>
      <c r="AJ219" s="188">
        <f t="shared" si="58"/>
        <v>0</v>
      </c>
      <c r="AK219" s="116"/>
      <c r="AL219" s="1258"/>
      <c r="AM219" s="31"/>
      <c r="AN219" s="1134"/>
      <c r="AO219" s="13">
        <v>123</v>
      </c>
      <c r="AP219" s="74"/>
      <c r="AQ219" s="75"/>
    </row>
    <row r="220" spans="1:43" ht="26.25" x14ac:dyDescent="0.4">
      <c r="A220" s="1411"/>
      <c r="B220" s="76" t="s">
        <v>138</v>
      </c>
      <c r="C220" s="559" t="s">
        <v>335</v>
      </c>
      <c r="D220" s="77"/>
      <c r="E220" s="78"/>
      <c r="F220" s="78"/>
      <c r="G220" s="78"/>
      <c r="H220" s="78"/>
      <c r="I220" s="78"/>
      <c r="J220" s="78"/>
      <c r="K220" s="78"/>
      <c r="L220" s="78"/>
      <c r="M220" s="79"/>
      <c r="N220" s="78"/>
      <c r="O220" s="79"/>
      <c r="P220" s="78"/>
      <c r="Q220" s="79"/>
      <c r="R220" s="78"/>
      <c r="S220" s="79"/>
      <c r="T220" s="78"/>
      <c r="U220" s="79"/>
      <c r="V220" s="78"/>
      <c r="W220" s="79"/>
      <c r="X220" s="159"/>
      <c r="Y220" s="79"/>
      <c r="Z220" s="599"/>
      <c r="AA220" s="606">
        <f t="shared" si="57"/>
        <v>0</v>
      </c>
      <c r="AB220" s="603"/>
      <c r="AC220" s="307"/>
      <c r="AD220" s="159"/>
      <c r="AE220" s="307"/>
      <c r="AF220" s="159"/>
      <c r="AG220" s="307"/>
      <c r="AH220" s="159"/>
      <c r="AI220" s="307"/>
      <c r="AJ220" s="173">
        <f t="shared" si="58"/>
        <v>0</v>
      </c>
      <c r="AK220" s="548" t="str">
        <f>CONCATENATE(IF(D222&lt;SUM(D223,D224,D225,D226)," * Rescreened and treatment , Total CXCA Screening positive for Age "&amp;D28&amp;" "&amp;D29&amp;" should be greater than or equal to  the sum of (Cryotherapy , Leep , Thermocoagulation and Reffered for treatment)"&amp;CHAR(10),""),IF(E222&lt;SUM(E223,E224,E225,E226)," * Rescreened and treatment , Total CXCA Screening positive for Age "&amp;D28&amp;" "&amp;E29&amp;" should be greater than or equal to  the sum of (Cryotherapy , Leep , Thermocoagulation and Reffered for treatment)"&amp;CHAR(10),""),IF(F222&lt;SUM(F223,F224,F225,F226)," * Rescreened and treatment , Total CXCA Screening positive for Age "&amp;F28&amp;" "&amp;F29&amp;" should be greater than or equal to  the sum of (Cryotherapy , Leep , Thermocoagulation and Reffered for treatment)"&amp;CHAR(10),""),IF(G222&lt;SUM(G223,G224,G225,G226)," * Rescreened and treatment , Total CXCA Screening positive for Age "&amp;F28&amp;" "&amp;G29&amp;" should be greater than or equal to  the sum of (Cryotherapy , Leep , Thermocoagulation and Reffered for treatment)"&amp;CHAR(10),""),IF(H222&lt;SUM(H223,H224,H225,H226)," * Rescreened and treatment , Total CXCA Screening positive for Age "&amp;H28&amp;" "&amp;H29&amp;" should be greater than or equal to  the sum of (Cryotherapy , Leep , Thermocoagulation and Reffered for treatment)"&amp;CHAR(10),""),IF(I222&lt;SUM(I223,I224,I225,I226)," * Rescreened and treatment , Total CXCA Screening positive for Age "&amp;H28&amp;" "&amp;I29&amp;" should be greater than or equal to  the sum of (Cryotherapy , Leep , Thermocoagulation and Reffered for treatment)"&amp;CHAR(10),""),IF(J222&lt;SUM(J223,J224,J225,J226)," * Rescreened and treatment , Total CXCA Screening positive for Age "&amp;J28&amp;" "&amp;J29&amp;" should be greater than or equal to  the sum of (Cryotherapy , Leep , Thermocoagulation and Reffered for treatment)"&amp;CHAR(10),""),IF(K222&lt;SUM(K223,K224,K225,K226)," * Rescreened and treatment , Total CXCA Screening positive for Age "&amp;J28&amp;" "&amp;K29&amp;" should be greater than or equal to  the sum of (Cryotherapy , Leep , Thermocoagulation and Reffered for treatment)"&amp;CHAR(10),""),IF(L222&lt;SUM(L223,L224,L225,L226)," * Rescreened and treatment , Total CXCA Screening positive for Age "&amp;L28&amp;" "&amp;L29&amp;" should be greater than or equal to  the sum of (Cryotherapy , Leep , Thermocoagulation and Reffered for treatment)"&amp;CHAR(10),""),IF(M222&lt;SUM(M223,M224,M225,M226)," * Rescreened and treatment , Total CXCA Screening positive for Age "&amp;L28&amp;" "&amp;M29&amp;" should be greater than or equal to  the sum of (Cryotherapy , Leep , Thermocoagulation and Reffered for treatment)"&amp;CHAR(10),""),IF(N222&lt;SUM(N223,N224,N225,N226)," * Rescreened and treatment , Total CXCA Screening positive for Age "&amp;N28&amp;" "&amp;N29&amp;" should be greater than or equal to  the sum of (Cryotherapy , Leep , Thermocoagulation and Reffered for treatment)"&amp;CHAR(10),""),IF(O222&lt;SUM(O223,O224,O225,O226)," * Rescreened and treatment , Total CXCA Screening positive for Age "&amp;N28&amp;" "&amp;O29&amp;" should be greater than or equal to  the sum of (Cryotherapy , Leep , Thermocoagulation and Reffered for treatment)"&amp;CHAR(10),""),IF(P222&lt;SUM(P223,P224,P225,P226)," * Rescreened and treatment , Total CXCA Screening positive for Age "&amp;P28&amp;" "&amp;P29&amp;" should be greater than or equal to  the sum of (Cryotherapy , Leep , Thermocoagulation and Reffered for treatment)"&amp;CHAR(10),""),IF(Q222&lt;SUM(Q223,Q224,Q225,Q226)," * Rescreened and treatment , Total CXCA Screening positive for Age "&amp;P28&amp;" "&amp;Q29&amp;" should be greater than or equal to  the sum of (Cryotherapy , Leep , Thermocoagulation and Reffered for treatment)"&amp;CHAR(10),""),IF(R222&lt;SUM(R223,R224,R225,R226)," * Rescreened and treatment , Total CXCA Screening positive for Age "&amp;R28&amp;" "&amp;R29&amp;" should be greater than or equal to  the sum of (Cryotherapy , Leep , Thermocoagulation and Reffered for treatment)"&amp;CHAR(10),""),IF(S222&lt;SUM(S223,S224,S225,S226)," * Rescreened and treatment , Total CXCA Screening positive for Age "&amp;R28&amp;" "&amp;S29&amp;" should be greater than or equal to  the sum of (Cryotherapy , Leep , Thermocoagulation and Reffered for treatment)"&amp;CHAR(10),""),IF(T222&lt;SUM(T223,T224,T225,T226)," * Rescreened and treatment , Total CXCA Screening positive for Age "&amp;T28&amp;" "&amp;T29&amp;" should be greater than or equal to  the sum of (Cryotherapy , Leep , Thermocoagulation and Reffered for treatment)"&amp;CHAR(10),""),IF(U222&lt;SUM(U223,U224,U225,U226)," * Rescreened and treatment , Total CXCA Screening positive for Age "&amp;T28&amp;" "&amp;U29&amp;" should be greater than or equal to  the sum of (Cryotherapy , Leep , Thermocoagulation and Reffered for treatment)"&amp;CHAR(10),""),IF(V222&lt;SUM(V223,V224,V225,V226)," * Rescreened and treatment , Total CXCA Screening positive for Age "&amp;V28&amp;" "&amp;V29&amp;" should be greater than or equal to  the sum of (Cryotherapy , Leep , Thermocoagulation and Reffered for treatment)"&amp;CHAR(10),""),IF(W222&lt;SUM(W223,W224,W225,W226)," * Rescreened and treatment , Total CXCA Screening positive for Age "&amp;V28&amp;" "&amp;W29&amp;" should be greater than or equal to  the sum of (Cryotherapy , Leep , Thermocoagulation and Reffered for treatment)"&amp;CHAR(10),""),IF(X222&lt;SUM(X223,X224,X225,X226)," * Rescreened and treatment , Total CXCA Screening positive for Age "&amp;X28&amp;" "&amp;X29&amp;" should be greater than or equal to  the sum of (Cryotherapy , Leep , Thermocoagulation and Reffered for treatment)"&amp;CHAR(10),""),IF(Y222&lt;SUM(Y223,Y224,Y225,Y226)," * Rescreened and treatment , Total CXCA Screening positive for Age "&amp;X28&amp;" "&amp;Y29&amp;" should be greater than or equal to  the sum of (Cryotherapy , Leep , Thermocoagulation and Reffered for treatment)"&amp;CHAR(10),""),IF(Z222&lt;SUM(Z223,Z224,Z225,Z226)," * Rescreened and treatment , Total CXCA Screening positive for Age "&amp;Z28&amp;" "&amp;Z29&amp;" should be greater than or equal to  the sum of (Cryotherapy , Leep , Thermocoagulation and Reffered for treatment)"&amp;CHAR(10),""),IF(AA222&lt;SUM(AA223,AA224,AA225,AA226)," * Rescreened and treatment , Total CXCA Screening positive for Age "&amp;Z28&amp;" "&amp;AA29&amp;" should be greater than or equal to  the sum of (Cryotherapy , Leep , Thermocoagulation and Reffered for treatment)"&amp;CHAR(10),""))</f>
        <v/>
      </c>
      <c r="AL220" s="1258"/>
      <c r="AM220" s="31"/>
      <c r="AN220" s="1134"/>
      <c r="AO220" s="13">
        <v>124</v>
      </c>
      <c r="AP220" s="74"/>
      <c r="AQ220" s="75"/>
    </row>
    <row r="221" spans="1:43" ht="26.25" x14ac:dyDescent="0.4">
      <c r="A221" s="1411"/>
      <c r="B221" s="76" t="s">
        <v>633</v>
      </c>
      <c r="C221" s="559" t="s">
        <v>217</v>
      </c>
      <c r="D221" s="77"/>
      <c r="E221" s="78"/>
      <c r="F221" s="78"/>
      <c r="G221" s="78"/>
      <c r="H221" s="78"/>
      <c r="I221" s="78"/>
      <c r="J221" s="78"/>
      <c r="K221" s="78"/>
      <c r="L221" s="78"/>
      <c r="M221" s="79"/>
      <c r="N221" s="78"/>
      <c r="O221" s="79"/>
      <c r="P221" s="78"/>
      <c r="Q221" s="79"/>
      <c r="R221" s="78"/>
      <c r="S221" s="79"/>
      <c r="T221" s="78"/>
      <c r="U221" s="79"/>
      <c r="V221" s="78"/>
      <c r="W221" s="79"/>
      <c r="X221" s="159"/>
      <c r="Y221" s="79"/>
      <c r="Z221" s="599"/>
      <c r="AA221" s="606">
        <f t="shared" si="57"/>
        <v>0</v>
      </c>
      <c r="AB221" s="603"/>
      <c r="AC221" s="307"/>
      <c r="AD221" s="159"/>
      <c r="AE221" s="307"/>
      <c r="AF221" s="159"/>
      <c r="AG221" s="307"/>
      <c r="AH221" s="159"/>
      <c r="AI221" s="307"/>
      <c r="AJ221" s="173">
        <f t="shared" si="58"/>
        <v>0</v>
      </c>
      <c r="AK221" s="116"/>
      <c r="AL221" s="1258"/>
      <c r="AM221" s="31"/>
      <c r="AN221" s="1134"/>
      <c r="AO221" s="13">
        <v>125</v>
      </c>
      <c r="AP221" s="74"/>
      <c r="AQ221" s="75"/>
    </row>
    <row r="222" spans="1:43" ht="26.25" x14ac:dyDescent="0.4">
      <c r="A222" s="1412"/>
      <c r="B222" s="160" t="s">
        <v>807</v>
      </c>
      <c r="C222" s="559" t="s">
        <v>809</v>
      </c>
      <c r="D222" s="77"/>
      <c r="E222" s="78"/>
      <c r="F222" s="78"/>
      <c r="G222" s="78"/>
      <c r="H222" s="78"/>
      <c r="I222" s="78"/>
      <c r="J222" s="78"/>
      <c r="K222" s="78"/>
      <c r="L222" s="78"/>
      <c r="M222" s="161">
        <f>M221+M220</f>
        <v>0</v>
      </c>
      <c r="N222" s="162"/>
      <c r="O222" s="161">
        <f>O221+O220</f>
        <v>0</v>
      </c>
      <c r="P222" s="78"/>
      <c r="Q222" s="161">
        <f>Q221+Q220</f>
        <v>0</v>
      </c>
      <c r="R222" s="78"/>
      <c r="S222" s="161">
        <f>S221+S220</f>
        <v>0</v>
      </c>
      <c r="T222" s="78"/>
      <c r="U222" s="161">
        <f>U221+U220</f>
        <v>0</v>
      </c>
      <c r="V222" s="78"/>
      <c r="W222" s="161">
        <f>W221+W220</f>
        <v>0</v>
      </c>
      <c r="X222" s="159"/>
      <c r="Y222" s="161">
        <f>Y221+Y220</f>
        <v>0</v>
      </c>
      <c r="Z222" s="599"/>
      <c r="AA222" s="606">
        <f t="shared" si="57"/>
        <v>0</v>
      </c>
      <c r="AB222" s="603"/>
      <c r="AC222" s="329">
        <f>AC221+AC220</f>
        <v>0</v>
      </c>
      <c r="AD222" s="159"/>
      <c r="AE222" s="329">
        <f>AE221+AE220</f>
        <v>0</v>
      </c>
      <c r="AF222" s="159"/>
      <c r="AG222" s="329">
        <f>AG221+AG220</f>
        <v>0</v>
      </c>
      <c r="AH222" s="159"/>
      <c r="AI222" s="329">
        <f>AI221+AI220</f>
        <v>0</v>
      </c>
      <c r="AJ222" s="173">
        <f t="shared" si="58"/>
        <v>0</v>
      </c>
      <c r="AK222" s="116"/>
      <c r="AL222" s="1258"/>
      <c r="AM222" s="31"/>
      <c r="AN222" s="1134"/>
      <c r="AO222" s="13">
        <v>126</v>
      </c>
      <c r="AP222" s="74"/>
      <c r="AQ222" s="75"/>
    </row>
    <row r="223" spans="1:43" ht="26.25" x14ac:dyDescent="0.4">
      <c r="A223" s="1413" t="s">
        <v>1298</v>
      </c>
      <c r="B223" s="163" t="s">
        <v>1247</v>
      </c>
      <c r="C223" s="559" t="s">
        <v>939</v>
      </c>
      <c r="D223" s="77"/>
      <c r="E223" s="78"/>
      <c r="F223" s="78"/>
      <c r="G223" s="78"/>
      <c r="H223" s="78"/>
      <c r="I223" s="78"/>
      <c r="J223" s="78"/>
      <c r="K223" s="78"/>
      <c r="L223" s="78"/>
      <c r="M223" s="164"/>
      <c r="N223" s="162"/>
      <c r="O223" s="164"/>
      <c r="P223" s="78"/>
      <c r="Q223" s="164"/>
      <c r="R223" s="78"/>
      <c r="S223" s="164"/>
      <c r="T223" s="78"/>
      <c r="U223" s="164"/>
      <c r="V223" s="78"/>
      <c r="W223" s="164"/>
      <c r="X223" s="159"/>
      <c r="Y223" s="164"/>
      <c r="Z223" s="599"/>
      <c r="AA223" s="606">
        <f t="shared" si="57"/>
        <v>0</v>
      </c>
      <c r="AB223" s="603"/>
      <c r="AC223" s="330"/>
      <c r="AD223" s="159"/>
      <c r="AE223" s="330"/>
      <c r="AF223" s="159"/>
      <c r="AG223" s="330"/>
      <c r="AH223" s="159"/>
      <c r="AI223" s="330"/>
      <c r="AJ223" s="173">
        <f t="shared" si="58"/>
        <v>0</v>
      </c>
      <c r="AK223" s="116"/>
      <c r="AL223" s="1258"/>
      <c r="AM223" s="31"/>
      <c r="AN223" s="1134"/>
      <c r="AO223" s="13">
        <v>127</v>
      </c>
      <c r="AP223" s="74"/>
      <c r="AQ223" s="75"/>
    </row>
    <row r="224" spans="1:43" ht="26.25" x14ac:dyDescent="0.4">
      <c r="A224" s="1411"/>
      <c r="B224" s="76" t="s">
        <v>634</v>
      </c>
      <c r="C224" s="559" t="s">
        <v>218</v>
      </c>
      <c r="D224" s="77"/>
      <c r="E224" s="78"/>
      <c r="F224" s="78"/>
      <c r="G224" s="78"/>
      <c r="H224" s="78"/>
      <c r="I224" s="78"/>
      <c r="J224" s="78"/>
      <c r="K224" s="78"/>
      <c r="L224" s="78"/>
      <c r="M224" s="79"/>
      <c r="N224" s="78"/>
      <c r="O224" s="79"/>
      <c r="P224" s="78"/>
      <c r="Q224" s="79"/>
      <c r="R224" s="78"/>
      <c r="S224" s="79"/>
      <c r="T224" s="78"/>
      <c r="U224" s="79"/>
      <c r="V224" s="78"/>
      <c r="W224" s="79"/>
      <c r="X224" s="159"/>
      <c r="Y224" s="79"/>
      <c r="Z224" s="599"/>
      <c r="AA224" s="606">
        <f t="shared" si="57"/>
        <v>0</v>
      </c>
      <c r="AB224" s="603"/>
      <c r="AC224" s="307"/>
      <c r="AD224" s="159"/>
      <c r="AE224" s="307"/>
      <c r="AF224" s="159"/>
      <c r="AG224" s="307"/>
      <c r="AH224" s="159"/>
      <c r="AI224" s="307"/>
      <c r="AJ224" s="173">
        <f t="shared" si="58"/>
        <v>0</v>
      </c>
      <c r="AK224" s="116"/>
      <c r="AL224" s="1258"/>
      <c r="AM224" s="31"/>
      <c r="AN224" s="1134"/>
      <c r="AO224" s="13">
        <v>128</v>
      </c>
      <c r="AP224" s="74"/>
      <c r="AQ224" s="75"/>
    </row>
    <row r="225" spans="1:43" ht="26.25" x14ac:dyDescent="0.4">
      <c r="A225" s="1411"/>
      <c r="B225" s="76" t="s">
        <v>635</v>
      </c>
      <c r="C225" s="559" t="s">
        <v>336</v>
      </c>
      <c r="D225" s="77"/>
      <c r="E225" s="78"/>
      <c r="F225" s="78"/>
      <c r="G225" s="78"/>
      <c r="H225" s="78"/>
      <c r="I225" s="78"/>
      <c r="J225" s="78"/>
      <c r="K225" s="78"/>
      <c r="L225" s="78"/>
      <c r="M225" s="79"/>
      <c r="N225" s="78"/>
      <c r="O225" s="79"/>
      <c r="P225" s="78"/>
      <c r="Q225" s="79"/>
      <c r="R225" s="78"/>
      <c r="S225" s="79"/>
      <c r="T225" s="78"/>
      <c r="U225" s="79"/>
      <c r="V225" s="78"/>
      <c r="W225" s="79"/>
      <c r="X225" s="159"/>
      <c r="Y225" s="79"/>
      <c r="Z225" s="599"/>
      <c r="AA225" s="606">
        <f t="shared" si="57"/>
        <v>0</v>
      </c>
      <c r="AB225" s="603"/>
      <c r="AC225" s="307"/>
      <c r="AD225" s="159"/>
      <c r="AE225" s="307"/>
      <c r="AF225" s="159"/>
      <c r="AG225" s="307"/>
      <c r="AH225" s="159"/>
      <c r="AI225" s="307"/>
      <c r="AJ225" s="173">
        <f t="shared" si="58"/>
        <v>0</v>
      </c>
      <c r="AK225" s="116"/>
      <c r="AL225" s="1258"/>
      <c r="AM225" s="31"/>
      <c r="AN225" s="1134"/>
      <c r="AO225" s="13">
        <v>129</v>
      </c>
      <c r="AP225" s="74"/>
      <c r="AQ225" s="75"/>
    </row>
    <row r="226" spans="1:43" ht="27" thickBot="1" x14ac:dyDescent="0.45">
      <c r="A226" s="1414"/>
      <c r="B226" s="87" t="s">
        <v>636</v>
      </c>
      <c r="C226" s="560" t="s">
        <v>220</v>
      </c>
      <c r="D226" s="103"/>
      <c r="E226" s="102"/>
      <c r="F226" s="102"/>
      <c r="G226" s="102"/>
      <c r="H226" s="102"/>
      <c r="I226" s="102"/>
      <c r="J226" s="102"/>
      <c r="K226" s="102"/>
      <c r="L226" s="102"/>
      <c r="M226" s="89"/>
      <c r="N226" s="102"/>
      <c r="O226" s="89"/>
      <c r="P226" s="102"/>
      <c r="Q226" s="89"/>
      <c r="R226" s="102"/>
      <c r="S226" s="89"/>
      <c r="T226" s="102"/>
      <c r="U226" s="89"/>
      <c r="V226" s="102"/>
      <c r="W226" s="89"/>
      <c r="X226" s="165"/>
      <c r="Y226" s="89"/>
      <c r="Z226" s="600"/>
      <c r="AA226" s="606">
        <f t="shared" si="57"/>
        <v>0</v>
      </c>
      <c r="AB226" s="604"/>
      <c r="AC226" s="309"/>
      <c r="AD226" s="165"/>
      <c r="AE226" s="309"/>
      <c r="AF226" s="165"/>
      <c r="AG226" s="309"/>
      <c r="AH226" s="165"/>
      <c r="AI226" s="309"/>
      <c r="AJ226" s="192">
        <f t="shared" si="58"/>
        <v>0</v>
      </c>
      <c r="AK226" s="116"/>
      <c r="AL226" s="1258"/>
      <c r="AM226" s="31"/>
      <c r="AN226" s="1134"/>
      <c r="AO226" s="13">
        <v>130</v>
      </c>
      <c r="AP226" s="74"/>
      <c r="AQ226" s="75"/>
    </row>
    <row r="227" spans="1:43" ht="26.25" x14ac:dyDescent="0.4">
      <c r="A227" s="1410" t="s">
        <v>25</v>
      </c>
      <c r="B227" s="91" t="s">
        <v>632</v>
      </c>
      <c r="C227" s="558" t="s">
        <v>337</v>
      </c>
      <c r="D227" s="98"/>
      <c r="E227" s="99"/>
      <c r="F227" s="99"/>
      <c r="G227" s="99"/>
      <c r="H227" s="99"/>
      <c r="I227" s="99"/>
      <c r="J227" s="99"/>
      <c r="K227" s="99"/>
      <c r="L227" s="99"/>
      <c r="M227" s="94"/>
      <c r="N227" s="99"/>
      <c r="O227" s="94"/>
      <c r="P227" s="99"/>
      <c r="Q227" s="94"/>
      <c r="R227" s="99"/>
      <c r="S227" s="94"/>
      <c r="T227" s="99"/>
      <c r="U227" s="94"/>
      <c r="V227" s="99"/>
      <c r="W227" s="94"/>
      <c r="X227" s="166"/>
      <c r="Y227" s="94"/>
      <c r="Z227" s="601"/>
      <c r="AA227" s="606">
        <f t="shared" si="57"/>
        <v>0</v>
      </c>
      <c r="AB227" s="605"/>
      <c r="AC227" s="310"/>
      <c r="AD227" s="166"/>
      <c r="AE227" s="310"/>
      <c r="AF227" s="166"/>
      <c r="AG227" s="310"/>
      <c r="AH227" s="166"/>
      <c r="AI227" s="310"/>
      <c r="AJ227" s="188">
        <f t="shared" si="58"/>
        <v>0</v>
      </c>
      <c r="AK227" s="116"/>
      <c r="AL227" s="1258"/>
      <c r="AM227" s="31"/>
      <c r="AN227" s="1134"/>
      <c r="AO227" s="13">
        <v>131</v>
      </c>
      <c r="AP227" s="74"/>
      <c r="AQ227" s="75"/>
    </row>
    <row r="228" spans="1:43" ht="26.25" x14ac:dyDescent="0.4">
      <c r="A228" s="1411"/>
      <c r="B228" s="76" t="s">
        <v>138</v>
      </c>
      <c r="C228" s="559" t="s">
        <v>338</v>
      </c>
      <c r="D228" s="77"/>
      <c r="E228" s="78"/>
      <c r="F228" s="78"/>
      <c r="G228" s="78"/>
      <c r="H228" s="78"/>
      <c r="I228" s="78"/>
      <c r="J228" s="78"/>
      <c r="K228" s="78"/>
      <c r="L228" s="78"/>
      <c r="M228" s="79"/>
      <c r="N228" s="78"/>
      <c r="O228" s="79"/>
      <c r="P228" s="78"/>
      <c r="Q228" s="79"/>
      <c r="R228" s="78"/>
      <c r="S228" s="79"/>
      <c r="T228" s="78"/>
      <c r="U228" s="79"/>
      <c r="V228" s="78"/>
      <c r="W228" s="79"/>
      <c r="X228" s="159"/>
      <c r="Y228" s="79"/>
      <c r="Z228" s="599"/>
      <c r="AA228" s="606">
        <f t="shared" si="57"/>
        <v>0</v>
      </c>
      <c r="AB228" s="603"/>
      <c r="AC228" s="307"/>
      <c r="AD228" s="159"/>
      <c r="AE228" s="307"/>
      <c r="AF228" s="159"/>
      <c r="AG228" s="307"/>
      <c r="AH228" s="159"/>
      <c r="AI228" s="307"/>
      <c r="AJ228" s="173">
        <f t="shared" si="58"/>
        <v>0</v>
      </c>
      <c r="AK228" s="548" t="str">
        <f>CONCATENATE(IF(D230&lt;SUM(D231,D232,D233,D234)," * Post Treatment Follow up, Total CXCA Screening positive for Age "&amp;D37&amp;" "&amp;D38&amp;" should be greater than or equal to  the sum of (Cryotherapy , Leep , Thermocoagulation and Reffered for treatment)"&amp;CHAR(10),""),IF(E230&lt;SUM(E231,E232,E233,E234)," * Post Treatment Follow up, Total CXCA Screening positive for Age "&amp;D37&amp;" "&amp;E38&amp;" should be greater than or equal to  the sum of (Cryotherapy , Leep , Thermocoagulation and Reffered for treatment)"&amp;CHAR(10),""),IF(F230&lt;SUM(F231,F232,F233,F234)," * Post Treatment Follow up, Total CXCA Screening positive for Age "&amp;F37&amp;" "&amp;F38&amp;" should be greater than or equal to  the sum of (Cryotherapy , Leep , Thermocoagulation and Reffered for treatment)"&amp;CHAR(10),""),IF(G230&lt;SUM(G231,G232,G233,G234)," * Post Treatment Follow up, Total CXCA Screening positive for Age "&amp;F37&amp;" "&amp;G38&amp;" should be greater than or equal to  the sum of (Cryotherapy , Leep , Thermocoagulation and Reffered for treatment)"&amp;CHAR(10),""),IF(H230&lt;SUM(H231,H232,H233,H234)," * Post Treatment Follow up, Total CXCA Screening positive for Age "&amp;H37&amp;" "&amp;H38&amp;" should be greater than or equal to  the sum of (Cryotherapy , Leep , Thermocoagulation and Reffered for treatment)"&amp;CHAR(10),""),IF(I230&lt;SUM(I231,I232,I233,I234)," * Post Treatment Follow up, Total CXCA Screening positive for Age "&amp;H37&amp;" "&amp;I38&amp;" should be greater than or equal to  the sum of (Cryotherapy , Leep , Thermocoagulation and Reffered for treatment)"&amp;CHAR(10),""),IF(J230&lt;SUM(J231,J232,J233,J234)," * Post Treatment Follow up, Total CXCA Screening positive for Age "&amp;J37&amp;" "&amp;J38&amp;" should be greater than or equal to  the sum of (Cryotherapy , Leep , Thermocoagulation and Reffered for treatment)"&amp;CHAR(10),""),IF(K230&lt;SUM(K231,K232,K233,K234)," * Post Treatment Follow up, Total CXCA Screening positive for Age "&amp;J37&amp;" "&amp;K38&amp;" should be greater than or equal to  the sum of (Cryotherapy , Leep , Thermocoagulation and Reffered for treatment)"&amp;CHAR(10),""),IF(L230&lt;SUM(L231,L232,L233,L234)," * Post Treatment Follow up, Total CXCA Screening positive for Age "&amp;L37&amp;" "&amp;L38&amp;" should be greater than or equal to  the sum of (Cryotherapy , Leep , Thermocoagulation and Reffered for treatment)"&amp;CHAR(10),""),IF(M230&lt;SUM(M231,M232,M233,M234)," * Post Treatment Follow up, Total CXCA Screening positive for Age "&amp;L37&amp;" "&amp;M38&amp;" should be greater than or equal to  the sum of (Cryotherapy , Leep , Thermocoagulation and Reffered for treatment)"&amp;CHAR(10),""),IF(N230&lt;SUM(N231,N232,N233,N234)," * Post Treatment Follow up, Total CXCA Screening positive for Age "&amp;N37&amp;" "&amp;N38&amp;" should be greater than or equal to  the sum of (Cryotherapy , Leep , Thermocoagulation and Reffered for treatment)"&amp;CHAR(10),""),IF(O230&lt;SUM(O231,O232,O233,O234)," * Post Treatment Follow up, Total CXCA Screening positive for Age "&amp;N37&amp;" "&amp;O38&amp;" should be greater than or equal to  the sum of (Cryotherapy , Leep , Thermocoagulation and Reffered for treatment)"&amp;CHAR(10),""),IF(P230&lt;SUM(P231,P232,P233,P234)," * Post Treatment Follow up, Total CXCA Screening positive for Age "&amp;P37&amp;" "&amp;P38&amp;" should be greater than or equal to  the sum of (Cryotherapy , Leep , Thermocoagulation and Reffered for treatment)"&amp;CHAR(10),""),IF(Q230&lt;SUM(Q231,Q232,Q233,Q234)," * Post Treatment Follow up, Total CXCA Screening positive for Age "&amp;P37&amp;" "&amp;Q38&amp;" should be greater than or equal to  the sum of (Cryotherapy , Leep , Thermocoagulation and Reffered for treatment)"&amp;CHAR(10),""),IF(R230&lt;SUM(R231,R232,R233,R234)," * Post Treatment Follow up, Total CXCA Screening positive for Age "&amp;R37&amp;" "&amp;R38&amp;" should be greater than or equal to  the sum of (Cryotherapy , Leep , Thermocoagulation and Reffered for treatment)"&amp;CHAR(10),""),IF(S230&lt;SUM(S231,S232,S233,S234)," * Post Treatment Follow up, Total CXCA Screening positive for Age "&amp;R37&amp;" "&amp;S38&amp;" should be greater than or equal to  the sum of (Cryotherapy , Leep , Thermocoagulation and Reffered for treatment)"&amp;CHAR(10),""),IF(T230&lt;SUM(T231,T232,T233,T234)," * Post Treatment Follow up, Total CXCA Screening positive for Age "&amp;T37&amp;" "&amp;T38&amp;" should be greater than or equal to  the sum of (Cryotherapy , Leep , Thermocoagulation and Reffered for treatment)"&amp;CHAR(10),""),IF(U230&lt;SUM(U231,U232,U233,U234)," * Post Treatment Follow up, Total CXCA Screening positive for Age "&amp;T37&amp;" "&amp;U38&amp;" should be greater than or equal to  the sum of (Cryotherapy , Leep , Thermocoagulation and Reffered for treatment)"&amp;CHAR(10),""),IF(V230&lt;SUM(V231,V232,V233,V234)," * Post Treatment Follow up, Total CXCA Screening positive for Age "&amp;V37&amp;" "&amp;V38&amp;" should be greater than or equal to  the sum of (Cryotherapy , Leep , Thermocoagulation and Reffered for treatment)"&amp;CHAR(10),""),IF(W230&lt;SUM(W231,W232,W233,W234)," * Post Treatment Follow up, Total CXCA Screening positive for Age "&amp;V37&amp;" "&amp;W38&amp;" should be greater than or equal to  the sum of (Cryotherapy , Leep , Thermocoagulation and Reffered for treatment)"&amp;CHAR(10),""),IF(X230&lt;SUM(X231,X232,X233,X234)," * Post Treatment Follow up, Total CXCA Screening positive for Age "&amp;X37&amp;" "&amp;X38&amp;" should be greater than or equal to  the sum of (Cryotherapy , Leep , Thermocoagulation and Reffered for treatment)"&amp;CHAR(10),""),IF(Y230&lt;SUM(Y231,Y232,Y233,Y234)," * Post Treatment Follow up, Total CXCA Screening positive for Age "&amp;X37&amp;" "&amp;Y38&amp;" should be greater than or equal to  the sum of (Cryotherapy , Leep , Thermocoagulation and Reffered for treatment)"&amp;CHAR(10),""),IF(Z230&lt;SUM(Z231,Z232,Z233,Z234)," * Post Treatment Follow up, Total CXCA Screening positive for Age "&amp;Z37&amp;" "&amp;Z38&amp;" should be greater than or equal to  the sum of (Cryotherapy , Leep , Thermocoagulation and Reffered for treatment)"&amp;CHAR(10),""),IF(AA230&lt;SUM(AA231,AA232,AA233,AA234)," * Post Treatment Follow up, Total CXCA Screening positive for Age "&amp;Z37&amp;" "&amp;AA38&amp;" should be greater than or equal to  the sum of (Cryotherapy , Leep , Thermocoagulation and Reffered for treatment)"&amp;CHAR(10),""))</f>
        <v/>
      </c>
      <c r="AL228" s="1258"/>
      <c r="AM228" s="31"/>
      <c r="AN228" s="1134"/>
      <c r="AO228" s="13">
        <v>132</v>
      </c>
      <c r="AP228" s="74"/>
      <c r="AQ228" s="75"/>
    </row>
    <row r="229" spans="1:43" ht="26.25" x14ac:dyDescent="0.4">
      <c r="A229" s="1411"/>
      <c r="B229" s="76" t="s">
        <v>633</v>
      </c>
      <c r="C229" s="559" t="s">
        <v>339</v>
      </c>
      <c r="D229" s="77"/>
      <c r="E229" s="78"/>
      <c r="F229" s="78"/>
      <c r="G229" s="78"/>
      <c r="H229" s="78"/>
      <c r="I229" s="78"/>
      <c r="J229" s="78"/>
      <c r="K229" s="78"/>
      <c r="L229" s="78"/>
      <c r="M229" s="79"/>
      <c r="N229" s="78"/>
      <c r="O229" s="79"/>
      <c r="P229" s="78"/>
      <c r="Q229" s="79"/>
      <c r="R229" s="78"/>
      <c r="S229" s="79"/>
      <c r="T229" s="78"/>
      <c r="U229" s="79"/>
      <c r="V229" s="78"/>
      <c r="W229" s="79"/>
      <c r="X229" s="159"/>
      <c r="Y229" s="79"/>
      <c r="Z229" s="599"/>
      <c r="AA229" s="606">
        <f t="shared" si="57"/>
        <v>0</v>
      </c>
      <c r="AB229" s="603"/>
      <c r="AC229" s="307"/>
      <c r="AD229" s="159"/>
      <c r="AE229" s="307"/>
      <c r="AF229" s="159"/>
      <c r="AG229" s="307"/>
      <c r="AH229" s="159"/>
      <c r="AI229" s="307"/>
      <c r="AJ229" s="173">
        <f t="shared" si="58"/>
        <v>0</v>
      </c>
      <c r="AK229" s="116"/>
      <c r="AL229" s="1258"/>
      <c r="AM229" s="31"/>
      <c r="AN229" s="1134"/>
      <c r="AO229" s="13">
        <v>133</v>
      </c>
      <c r="AP229" s="74"/>
      <c r="AQ229" s="75"/>
    </row>
    <row r="230" spans="1:43" ht="26.25" x14ac:dyDescent="0.4">
      <c r="A230" s="1412"/>
      <c r="B230" s="160" t="s">
        <v>807</v>
      </c>
      <c r="C230" s="559" t="s">
        <v>810</v>
      </c>
      <c r="D230" s="77"/>
      <c r="E230" s="78"/>
      <c r="F230" s="78"/>
      <c r="G230" s="78"/>
      <c r="H230" s="78"/>
      <c r="I230" s="78"/>
      <c r="J230" s="78"/>
      <c r="K230" s="78"/>
      <c r="L230" s="78"/>
      <c r="M230" s="161">
        <f>M229+M228</f>
        <v>0</v>
      </c>
      <c r="N230" s="162"/>
      <c r="O230" s="161">
        <f>O229+O228</f>
        <v>0</v>
      </c>
      <c r="P230" s="78"/>
      <c r="Q230" s="161">
        <f>Q229+Q228</f>
        <v>0</v>
      </c>
      <c r="R230" s="78"/>
      <c r="S230" s="161">
        <f>S229+S228</f>
        <v>0</v>
      </c>
      <c r="T230" s="78"/>
      <c r="U230" s="161">
        <f>U229+U228</f>
        <v>0</v>
      </c>
      <c r="V230" s="78"/>
      <c r="W230" s="161">
        <f>W229+W228</f>
        <v>0</v>
      </c>
      <c r="X230" s="159"/>
      <c r="Y230" s="161">
        <f>Y229+Y228</f>
        <v>0</v>
      </c>
      <c r="Z230" s="599"/>
      <c r="AA230" s="606">
        <f t="shared" si="57"/>
        <v>0</v>
      </c>
      <c r="AB230" s="603"/>
      <c r="AC230" s="329">
        <f>AC229+AC228</f>
        <v>0</v>
      </c>
      <c r="AD230" s="159"/>
      <c r="AE230" s="329">
        <f>AE229+AE228</f>
        <v>0</v>
      </c>
      <c r="AF230" s="159"/>
      <c r="AG230" s="329">
        <f>AG229+AG228</f>
        <v>0</v>
      </c>
      <c r="AH230" s="159"/>
      <c r="AI230" s="329">
        <f>AI229+AI228</f>
        <v>0</v>
      </c>
      <c r="AJ230" s="173">
        <f t="shared" si="58"/>
        <v>0</v>
      </c>
      <c r="AK230" s="116"/>
      <c r="AL230" s="1258"/>
      <c r="AM230" s="31"/>
      <c r="AN230" s="1134"/>
      <c r="AO230" s="13">
        <v>134</v>
      </c>
      <c r="AP230" s="74"/>
      <c r="AQ230" s="75"/>
    </row>
    <row r="231" spans="1:43" ht="26.25" x14ac:dyDescent="0.4">
      <c r="A231" s="869"/>
      <c r="B231" s="163" t="s">
        <v>1247</v>
      </c>
      <c r="C231" s="559" t="s">
        <v>938</v>
      </c>
      <c r="D231" s="77"/>
      <c r="E231" s="78"/>
      <c r="F231" s="78"/>
      <c r="G231" s="78"/>
      <c r="H231" s="78"/>
      <c r="I231" s="78"/>
      <c r="J231" s="78"/>
      <c r="K231" s="78"/>
      <c r="L231" s="78"/>
      <c r="M231" s="164"/>
      <c r="N231" s="162"/>
      <c r="O231" s="164"/>
      <c r="P231" s="78"/>
      <c r="Q231" s="164"/>
      <c r="R231" s="78"/>
      <c r="S231" s="164"/>
      <c r="T231" s="78"/>
      <c r="U231" s="164"/>
      <c r="V231" s="78"/>
      <c r="W231" s="164"/>
      <c r="X231" s="159"/>
      <c r="Y231" s="164"/>
      <c r="Z231" s="599"/>
      <c r="AA231" s="606">
        <f t="shared" si="57"/>
        <v>0</v>
      </c>
      <c r="AB231" s="603"/>
      <c r="AC231" s="330"/>
      <c r="AD231" s="159"/>
      <c r="AE231" s="330"/>
      <c r="AF231" s="159"/>
      <c r="AG231" s="330"/>
      <c r="AH231" s="159"/>
      <c r="AI231" s="330"/>
      <c r="AJ231" s="173">
        <f t="shared" si="58"/>
        <v>0</v>
      </c>
      <c r="AK231" s="116"/>
      <c r="AL231" s="1258"/>
      <c r="AM231" s="31"/>
      <c r="AN231" s="1134"/>
      <c r="AO231" s="13">
        <v>135</v>
      </c>
      <c r="AP231" s="74"/>
      <c r="AQ231" s="75"/>
    </row>
    <row r="232" spans="1:43" ht="26.25" x14ac:dyDescent="0.4">
      <c r="A232" s="869"/>
      <c r="B232" s="76" t="s">
        <v>634</v>
      </c>
      <c r="C232" s="559" t="s">
        <v>228</v>
      </c>
      <c r="D232" s="77"/>
      <c r="E232" s="78"/>
      <c r="F232" s="78"/>
      <c r="G232" s="78"/>
      <c r="H232" s="78"/>
      <c r="I232" s="78"/>
      <c r="J232" s="78"/>
      <c r="K232" s="78"/>
      <c r="L232" s="78"/>
      <c r="M232" s="79"/>
      <c r="N232" s="78"/>
      <c r="O232" s="79"/>
      <c r="P232" s="78"/>
      <c r="Q232" s="79"/>
      <c r="R232" s="78"/>
      <c r="S232" s="79"/>
      <c r="T232" s="78"/>
      <c r="U232" s="79"/>
      <c r="V232" s="78"/>
      <c r="W232" s="79"/>
      <c r="X232" s="159"/>
      <c r="Y232" s="79"/>
      <c r="Z232" s="599"/>
      <c r="AA232" s="606">
        <f t="shared" si="57"/>
        <v>0</v>
      </c>
      <c r="AB232" s="603"/>
      <c r="AC232" s="307"/>
      <c r="AD232" s="159"/>
      <c r="AE232" s="307"/>
      <c r="AF232" s="159"/>
      <c r="AG232" s="307"/>
      <c r="AH232" s="159"/>
      <c r="AI232" s="307"/>
      <c r="AJ232" s="173">
        <f t="shared" si="58"/>
        <v>0</v>
      </c>
      <c r="AK232" s="116"/>
      <c r="AL232" s="1258"/>
      <c r="AM232" s="31"/>
      <c r="AN232" s="1134"/>
      <c r="AO232" s="13">
        <v>136</v>
      </c>
      <c r="AP232" s="74"/>
      <c r="AQ232" s="75"/>
    </row>
    <row r="233" spans="1:43" ht="26.25" x14ac:dyDescent="0.4">
      <c r="A233" s="869"/>
      <c r="B233" s="76" t="s">
        <v>635</v>
      </c>
      <c r="C233" s="559" t="s">
        <v>340</v>
      </c>
      <c r="D233" s="77"/>
      <c r="E233" s="78"/>
      <c r="F233" s="78"/>
      <c r="G233" s="78"/>
      <c r="H233" s="78"/>
      <c r="I233" s="78"/>
      <c r="J233" s="78"/>
      <c r="K233" s="78"/>
      <c r="L233" s="78"/>
      <c r="M233" s="79"/>
      <c r="N233" s="78"/>
      <c r="O233" s="79"/>
      <c r="P233" s="78"/>
      <c r="Q233" s="79"/>
      <c r="R233" s="78"/>
      <c r="S233" s="79"/>
      <c r="T233" s="78"/>
      <c r="U233" s="79"/>
      <c r="V233" s="78"/>
      <c r="W233" s="79"/>
      <c r="X233" s="159"/>
      <c r="Y233" s="79"/>
      <c r="Z233" s="599"/>
      <c r="AA233" s="606">
        <f t="shared" si="57"/>
        <v>0</v>
      </c>
      <c r="AB233" s="603"/>
      <c r="AC233" s="307"/>
      <c r="AD233" s="159"/>
      <c r="AE233" s="307"/>
      <c r="AF233" s="159"/>
      <c r="AG233" s="307"/>
      <c r="AH233" s="159"/>
      <c r="AI233" s="307"/>
      <c r="AJ233" s="173">
        <f t="shared" si="58"/>
        <v>0</v>
      </c>
      <c r="AK233" s="116"/>
      <c r="AL233" s="1258"/>
      <c r="AM233" s="31"/>
      <c r="AN233" s="1134"/>
      <c r="AO233" s="13">
        <v>137</v>
      </c>
      <c r="AP233" s="74"/>
      <c r="AQ233" s="75"/>
    </row>
    <row r="234" spans="1:43" ht="27" thickBot="1" x14ac:dyDescent="0.45">
      <c r="A234" s="866"/>
      <c r="B234" s="118" t="s">
        <v>636</v>
      </c>
      <c r="C234" s="560" t="s">
        <v>341</v>
      </c>
      <c r="D234" s="133"/>
      <c r="E234" s="120"/>
      <c r="F234" s="120"/>
      <c r="G234" s="120"/>
      <c r="H234" s="120"/>
      <c r="I234" s="120"/>
      <c r="J234" s="120"/>
      <c r="K234" s="120"/>
      <c r="L234" s="120"/>
      <c r="M234" s="89"/>
      <c r="N234" s="102"/>
      <c r="O234" s="89"/>
      <c r="P234" s="102"/>
      <c r="Q234" s="89"/>
      <c r="R234" s="102"/>
      <c r="S234" s="89"/>
      <c r="T234" s="102"/>
      <c r="U234" s="89"/>
      <c r="V234" s="102"/>
      <c r="W234" s="89"/>
      <c r="X234" s="165"/>
      <c r="Y234" s="89"/>
      <c r="Z234" s="600"/>
      <c r="AA234" s="606">
        <f t="shared" si="57"/>
        <v>0</v>
      </c>
      <c r="AB234" s="604"/>
      <c r="AC234" s="309"/>
      <c r="AD234" s="165"/>
      <c r="AE234" s="309"/>
      <c r="AF234" s="165"/>
      <c r="AG234" s="309"/>
      <c r="AH234" s="165"/>
      <c r="AI234" s="309"/>
      <c r="AJ234" s="380">
        <f t="shared" si="58"/>
        <v>0</v>
      </c>
      <c r="AK234" s="122"/>
      <c r="AL234" s="1259"/>
      <c r="AM234" s="123"/>
      <c r="AN234" s="1135"/>
      <c r="AO234" s="13">
        <v>138</v>
      </c>
      <c r="AP234" s="74"/>
      <c r="AQ234" s="75"/>
    </row>
    <row r="235" spans="1:43" ht="27" thickBot="1" x14ac:dyDescent="0.45">
      <c r="A235" s="1114" t="s">
        <v>114</v>
      </c>
      <c r="B235" s="1118"/>
      <c r="C235" s="1118"/>
      <c r="D235" s="1118"/>
      <c r="E235" s="1118"/>
      <c r="F235" s="1118"/>
      <c r="G235" s="1118"/>
      <c r="H235" s="1118"/>
      <c r="I235" s="1118"/>
      <c r="J235" s="1118"/>
      <c r="K235" s="1118"/>
      <c r="L235" s="1118"/>
      <c r="M235" s="1118"/>
      <c r="N235" s="1118"/>
      <c r="O235" s="1118"/>
      <c r="P235" s="1118"/>
      <c r="Q235" s="1118"/>
      <c r="R235" s="1118"/>
      <c r="S235" s="1118"/>
      <c r="T235" s="1118"/>
      <c r="U235" s="1118"/>
      <c r="V235" s="1118"/>
      <c r="W235" s="1118"/>
      <c r="X235" s="1118"/>
      <c r="Y235" s="1118"/>
      <c r="Z235" s="1118"/>
      <c r="AA235" s="1116"/>
      <c r="AB235" s="1117"/>
      <c r="AC235" s="1117"/>
      <c r="AD235" s="1117"/>
      <c r="AE235" s="1117"/>
      <c r="AF235" s="1117"/>
      <c r="AG235" s="1117"/>
      <c r="AH235" s="1117"/>
      <c r="AI235" s="1117"/>
      <c r="AJ235" s="1118"/>
      <c r="AK235" s="1118"/>
      <c r="AL235" s="1118"/>
      <c r="AM235" s="1118"/>
      <c r="AN235" s="1119"/>
      <c r="AO235" s="13">
        <v>139</v>
      </c>
      <c r="AP235" s="74"/>
      <c r="AQ235" s="75"/>
    </row>
    <row r="236" spans="1:43" ht="26.25" customHeight="1" x14ac:dyDescent="0.4">
      <c r="A236" s="1164" t="s">
        <v>36</v>
      </c>
      <c r="B236" s="1338" t="s">
        <v>321</v>
      </c>
      <c r="C236" s="1162" t="s">
        <v>305</v>
      </c>
      <c r="D236" s="1139" t="s">
        <v>0</v>
      </c>
      <c r="E236" s="1139"/>
      <c r="F236" s="1139" t="s">
        <v>1</v>
      </c>
      <c r="G236" s="1139"/>
      <c r="H236" s="1139" t="s">
        <v>2</v>
      </c>
      <c r="I236" s="1139"/>
      <c r="J236" s="1139" t="s">
        <v>3</v>
      </c>
      <c r="K236" s="1139"/>
      <c r="L236" s="1139" t="s">
        <v>4</v>
      </c>
      <c r="M236" s="1139"/>
      <c r="N236" s="1139" t="s">
        <v>5</v>
      </c>
      <c r="O236" s="1139"/>
      <c r="P236" s="1139" t="s">
        <v>6</v>
      </c>
      <c r="Q236" s="1139"/>
      <c r="R236" s="1139" t="s">
        <v>7</v>
      </c>
      <c r="S236" s="1139"/>
      <c r="T236" s="1139" t="s">
        <v>8</v>
      </c>
      <c r="U236" s="1139"/>
      <c r="V236" s="1139" t="s">
        <v>23</v>
      </c>
      <c r="W236" s="1139"/>
      <c r="X236" s="1139" t="s">
        <v>24</v>
      </c>
      <c r="Y236" s="1139"/>
      <c r="Z236" s="1139" t="s">
        <v>9</v>
      </c>
      <c r="AA236" s="1140"/>
      <c r="AB236" s="1144"/>
      <c r="AC236" s="1145"/>
      <c r="AD236" s="1145"/>
      <c r="AE236" s="1145"/>
      <c r="AF236" s="1145"/>
      <c r="AG236" s="1145"/>
      <c r="AH236" s="1145"/>
      <c r="AI236" s="1404"/>
      <c r="AJ236" s="1152" t="s">
        <v>19</v>
      </c>
      <c r="AK236" s="1154" t="s">
        <v>354</v>
      </c>
      <c r="AL236" s="1137" t="s">
        <v>360</v>
      </c>
      <c r="AM236" s="1132" t="s">
        <v>361</v>
      </c>
      <c r="AN236" s="1127" t="s">
        <v>361</v>
      </c>
      <c r="AO236" s="13">
        <v>140</v>
      </c>
      <c r="AP236" s="74"/>
      <c r="AQ236" s="75"/>
    </row>
    <row r="237" spans="1:43" ht="27" customHeight="1" thickBot="1" x14ac:dyDescent="0.45">
      <c r="A237" s="1165"/>
      <c r="B237" s="1339"/>
      <c r="C237" s="1163"/>
      <c r="D237" s="284" t="s">
        <v>10</v>
      </c>
      <c r="E237" s="284" t="s">
        <v>11</v>
      </c>
      <c r="F237" s="284" t="s">
        <v>10</v>
      </c>
      <c r="G237" s="284" t="s">
        <v>11</v>
      </c>
      <c r="H237" s="284" t="s">
        <v>10</v>
      </c>
      <c r="I237" s="284" t="s">
        <v>11</v>
      </c>
      <c r="J237" s="284" t="s">
        <v>10</v>
      </c>
      <c r="K237" s="284" t="s">
        <v>11</v>
      </c>
      <c r="L237" s="284" t="s">
        <v>10</v>
      </c>
      <c r="M237" s="284" t="s">
        <v>11</v>
      </c>
      <c r="N237" s="284" t="s">
        <v>10</v>
      </c>
      <c r="O237" s="284" t="s">
        <v>11</v>
      </c>
      <c r="P237" s="284" t="s">
        <v>10</v>
      </c>
      <c r="Q237" s="284" t="s">
        <v>11</v>
      </c>
      <c r="R237" s="284" t="s">
        <v>10</v>
      </c>
      <c r="S237" s="284" t="s">
        <v>11</v>
      </c>
      <c r="T237" s="284" t="s">
        <v>10</v>
      </c>
      <c r="U237" s="284" t="s">
        <v>11</v>
      </c>
      <c r="V237" s="284" t="s">
        <v>10</v>
      </c>
      <c r="W237" s="284" t="s">
        <v>11</v>
      </c>
      <c r="X237" s="284" t="s">
        <v>10</v>
      </c>
      <c r="Y237" s="284" t="s">
        <v>11</v>
      </c>
      <c r="Z237" s="284" t="s">
        <v>10</v>
      </c>
      <c r="AA237" s="490" t="s">
        <v>11</v>
      </c>
      <c r="AB237" s="359"/>
      <c r="AC237" s="360"/>
      <c r="AD237" s="360"/>
      <c r="AE237" s="360"/>
      <c r="AF237" s="360"/>
      <c r="AG237" s="360"/>
      <c r="AH237" s="360"/>
      <c r="AI237" s="361"/>
      <c r="AJ237" s="1260"/>
      <c r="AK237" s="1155"/>
      <c r="AL237" s="1138"/>
      <c r="AM237" s="1132"/>
      <c r="AN237" s="1128"/>
      <c r="AO237" s="13">
        <v>141</v>
      </c>
      <c r="AP237" s="74"/>
      <c r="AQ237" s="75"/>
    </row>
    <row r="238" spans="1:43" ht="30.75" hidden="1" customHeight="1" x14ac:dyDescent="0.4">
      <c r="A238" s="1157" t="s">
        <v>900</v>
      </c>
      <c r="B238" s="167" t="s">
        <v>637</v>
      </c>
      <c r="C238" s="557" t="s">
        <v>493</v>
      </c>
      <c r="D238" s="168">
        <f t="shared" ref="D238:AA238" si="59">D8</f>
        <v>0</v>
      </c>
      <c r="E238" s="168">
        <f t="shared" si="59"/>
        <v>0</v>
      </c>
      <c r="F238" s="168">
        <f t="shared" si="59"/>
        <v>0</v>
      </c>
      <c r="G238" s="168">
        <f t="shared" si="59"/>
        <v>0</v>
      </c>
      <c r="H238" s="168">
        <f t="shared" si="59"/>
        <v>0</v>
      </c>
      <c r="I238" s="168">
        <f t="shared" si="59"/>
        <v>0</v>
      </c>
      <c r="J238" s="168">
        <f t="shared" si="59"/>
        <v>0</v>
      </c>
      <c r="K238" s="168">
        <f t="shared" si="59"/>
        <v>0</v>
      </c>
      <c r="L238" s="168">
        <f t="shared" si="59"/>
        <v>0</v>
      </c>
      <c r="M238" s="168">
        <f t="shared" si="59"/>
        <v>0</v>
      </c>
      <c r="N238" s="168">
        <f t="shared" si="59"/>
        <v>0</v>
      </c>
      <c r="O238" s="168">
        <f t="shared" si="59"/>
        <v>0</v>
      </c>
      <c r="P238" s="168">
        <f t="shared" si="59"/>
        <v>0</v>
      </c>
      <c r="Q238" s="168">
        <f t="shared" si="59"/>
        <v>0</v>
      </c>
      <c r="R238" s="168">
        <f t="shared" si="59"/>
        <v>0</v>
      </c>
      <c r="S238" s="168">
        <f t="shared" si="59"/>
        <v>0</v>
      </c>
      <c r="T238" s="168">
        <f t="shared" si="59"/>
        <v>0</v>
      </c>
      <c r="U238" s="168">
        <f t="shared" si="59"/>
        <v>0</v>
      </c>
      <c r="V238" s="168">
        <f t="shared" si="59"/>
        <v>0</v>
      </c>
      <c r="W238" s="168">
        <f t="shared" si="59"/>
        <v>0</v>
      </c>
      <c r="X238" s="168">
        <f t="shared" si="59"/>
        <v>0</v>
      </c>
      <c r="Y238" s="168">
        <f t="shared" si="59"/>
        <v>0</v>
      </c>
      <c r="Z238" s="168">
        <f t="shared" si="59"/>
        <v>0</v>
      </c>
      <c r="AA238" s="168">
        <f t="shared" si="59"/>
        <v>0</v>
      </c>
      <c r="AB238" s="491"/>
      <c r="AC238" s="491"/>
      <c r="AD238" s="491"/>
      <c r="AE238" s="491"/>
      <c r="AF238" s="491"/>
      <c r="AG238" s="491"/>
      <c r="AH238" s="491"/>
      <c r="AI238" s="491"/>
      <c r="AJ238" s="168">
        <f>AJ8</f>
        <v>0</v>
      </c>
      <c r="AK238" s="30" t="str">
        <f>CONCATENATE(IF(D239&gt;D238," * No Screened for GBV "&amp;$D$20&amp;" "&amp;$D$21&amp;" is more than Clients Seen at OPD"&amp;CHAR(10),""),IF(E239&gt;E238," * No Screened For GBV "&amp;$D$20&amp;" "&amp;$E$21&amp;" is more than Clients Seen at OPD"&amp;CHAR(10),""),IF(F239&gt;F238," * No Screened For GBV "&amp;$F$20&amp;" "&amp;$F$21&amp;" is more than Clients Seen at OPD"&amp;CHAR(10),""),IF(G239&gt;G238," * No Screened For GBV "&amp;$F$20&amp;" "&amp;$G$21&amp;" is more than Clients Seen at OPD"&amp;CHAR(10),""),IF(H239&gt;H238," * No Screened For GBV "&amp;$H$20&amp;" "&amp;$H$21&amp;" is more than Clients Seen at OPD"&amp;CHAR(10),""),IF(I239&gt;I238," * No Screened For GBV "&amp;$H$20&amp;" "&amp;$I$21&amp;" is more than Clients Seen at OPD"&amp;CHAR(10),""),IF(J239&gt;J238," * No Screened For GBV "&amp;$J$20&amp;" "&amp;$J$21&amp;" is more than Clients Seen at OPD"&amp;CHAR(10),""),IF(K239&gt;K238," * No Screened For GBV "&amp;$J$20&amp;" "&amp;$K$21&amp;" is more than Clients Seen at OPD"&amp;CHAR(10),""),IF(L239&gt;L238," * No Screened For GBV "&amp;$L$20&amp;" "&amp;$L$21&amp;" is more than Clients Seen at OPD"&amp;CHAR(10),""),IF(M239&gt;M238," * No Screened For GBV "&amp;$L$20&amp;" "&amp;$M$21&amp;" is more than Clients Seen at OPD"&amp;CHAR(10),""),IF(N239&gt;N238," * No Screened For GBV "&amp;$N$20&amp;" "&amp;$N$21&amp;" is more than Clients Seen at OPD"&amp;CHAR(10),""),IF(O239&gt;O238," * No Screened For GBV "&amp;$N$20&amp;" "&amp;$O$21&amp;" is more than Clients Seen at OPD"&amp;CHAR(10),""),IF(P239&gt;P238," * No Screened For GBV "&amp;$P$20&amp;" "&amp;$P$21&amp;" is more than Clients Seen at OPD"&amp;CHAR(10),""),IF(Q239&gt;Q238," * No Screened For GBV "&amp;$P$20&amp;" "&amp;$Q$21&amp;" is more than Clients Seen at OPD"&amp;CHAR(10),""),IF(R239&gt;R238," * No Screened For GBV "&amp;$R$20&amp;" "&amp;$R$21&amp;" is more than Clients Seen at OPD"&amp;CHAR(10),""),IF(S239&gt;S238," * No Screened For GBV "&amp;$R$20&amp;" "&amp;$S$21&amp;" is more than Clients Seen at OPD"&amp;CHAR(10),""),IF(T239&gt;T238," * No Screened For GBV "&amp;$T$20&amp;" "&amp;$T$21&amp;" is more than Clients Seen at OPD"&amp;CHAR(10),""),IF(U239&gt;U238," * No Screened For GBV "&amp;$T$20&amp;" "&amp;$U$21&amp;" is more than Clients Seen at OPD"&amp;CHAR(10),""),IF(V239&gt;V238," * No Screened For GBV "&amp;$V$20&amp;" "&amp;$V$21&amp;" is more than Clients Seen at OPD"&amp;CHAR(10),""),IF(W239&gt;W238," * No Screened For GBV "&amp;$V$20&amp;" "&amp;$W$21&amp;" is more than Clients Seen at OPD"&amp;CHAR(10),""),IF(X239&gt;X238," * No Screened For GBV "&amp;$X$20&amp;" "&amp;$X$21&amp;" is more than Clients Seen at OPD"&amp;CHAR(10),""),IF(Y239&gt;Y238," * No Screened For GBV "&amp;$X$20&amp;" "&amp;$Y$21&amp;" is more than Clients Seen at OPD"&amp;CHAR(10),""),IF(Z239&gt;Z238," * No Screened For GBV "&amp;$Z$20&amp;" "&amp;$Z$21&amp;" is more than Clients Seen at OPD"&amp;CHAR(10),""),IF(AA239&gt;AA238," * No Screened For GBV "&amp;$Z$20&amp;" "&amp;$AA$21&amp;" is more than Clients Seen at OPD"&amp;CHAR(10),""))</f>
        <v/>
      </c>
      <c r="AL238" s="1141" t="str">
        <f>CONCATENATE(AK238,AK239,AK240,AK241,AK242,AK243,AK244,AK245,AK246)</f>
        <v/>
      </c>
      <c r="AM238" s="73"/>
      <c r="AN238" s="1129" t="str">
        <f>CONCATENATE(AM238,AM275,AM276,AM277,AM278,AM279,AM280,AM281,AM282,AM283,AM284,AM285,AM286,AM287,AM288)</f>
        <v/>
      </c>
      <c r="AO238" s="13">
        <v>142</v>
      </c>
      <c r="AP238" s="74"/>
      <c r="AQ238" s="75"/>
    </row>
    <row r="239" spans="1:43" ht="27" hidden="1" thickBot="1" x14ac:dyDescent="0.45">
      <c r="A239" s="1157"/>
      <c r="B239" s="169" t="s">
        <v>855</v>
      </c>
      <c r="C239" s="555" t="s">
        <v>494</v>
      </c>
      <c r="D239" s="170"/>
      <c r="E239" s="170"/>
      <c r="F239" s="170"/>
      <c r="G239" s="170"/>
      <c r="H239" s="170"/>
      <c r="I239" s="170"/>
      <c r="J239" s="170"/>
      <c r="K239" s="170"/>
      <c r="L239" s="170"/>
      <c r="M239" s="170"/>
      <c r="N239" s="170"/>
      <c r="O239" s="170"/>
      <c r="P239" s="170"/>
      <c r="Q239" s="170"/>
      <c r="R239" s="170"/>
      <c r="S239" s="170"/>
      <c r="T239" s="170"/>
      <c r="U239" s="170"/>
      <c r="V239" s="170"/>
      <c r="W239" s="170"/>
      <c r="X239" s="170"/>
      <c r="Y239" s="170"/>
      <c r="Z239" s="170"/>
      <c r="AA239" s="170"/>
      <c r="AB239" s="331"/>
      <c r="AC239" s="331"/>
      <c r="AD239" s="331"/>
      <c r="AE239" s="331"/>
      <c r="AF239" s="331"/>
      <c r="AG239" s="331"/>
      <c r="AH239" s="331"/>
      <c r="AI239" s="331"/>
      <c r="AJ239" s="29">
        <f>SUM(D239:AA239)</f>
        <v>0</v>
      </c>
      <c r="AK239" s="130"/>
      <c r="AL239" s="1142"/>
      <c r="AM239" s="31"/>
      <c r="AN239" s="1130"/>
      <c r="AO239" s="13">
        <v>143</v>
      </c>
      <c r="AP239" s="74"/>
      <c r="AQ239" s="75"/>
    </row>
    <row r="240" spans="1:43" ht="27" hidden="1" thickBot="1" x14ac:dyDescent="0.45">
      <c r="A240" s="1157"/>
      <c r="B240" s="171" t="s">
        <v>859</v>
      </c>
      <c r="C240" s="555" t="s">
        <v>820</v>
      </c>
      <c r="D240" s="172">
        <f>D241+D243+D245+D246</f>
        <v>0</v>
      </c>
      <c r="E240" s="172">
        <f t="shared" ref="E240:AA240" si="60">E241+E243+E245+E246</f>
        <v>0</v>
      </c>
      <c r="F240" s="172">
        <f t="shared" si="60"/>
        <v>0</v>
      </c>
      <c r="G240" s="172">
        <f t="shared" si="60"/>
        <v>0</v>
      </c>
      <c r="H240" s="172">
        <f t="shared" si="60"/>
        <v>0</v>
      </c>
      <c r="I240" s="172">
        <f t="shared" si="60"/>
        <v>0</v>
      </c>
      <c r="J240" s="172">
        <f t="shared" si="60"/>
        <v>0</v>
      </c>
      <c r="K240" s="172">
        <f t="shared" si="60"/>
        <v>0</v>
      </c>
      <c r="L240" s="172">
        <f t="shared" si="60"/>
        <v>0</v>
      </c>
      <c r="M240" s="172">
        <f t="shared" si="60"/>
        <v>0</v>
      </c>
      <c r="N240" s="172">
        <f t="shared" si="60"/>
        <v>0</v>
      </c>
      <c r="O240" s="172">
        <f t="shared" si="60"/>
        <v>0</v>
      </c>
      <c r="P240" s="172">
        <f t="shared" si="60"/>
        <v>0</v>
      </c>
      <c r="Q240" s="172">
        <f t="shared" si="60"/>
        <v>0</v>
      </c>
      <c r="R240" s="172">
        <f t="shared" si="60"/>
        <v>0</v>
      </c>
      <c r="S240" s="172">
        <f t="shared" si="60"/>
        <v>0</v>
      </c>
      <c r="T240" s="172">
        <f t="shared" si="60"/>
        <v>0</v>
      </c>
      <c r="U240" s="172">
        <f t="shared" si="60"/>
        <v>0</v>
      </c>
      <c r="V240" s="172">
        <f t="shared" si="60"/>
        <v>0</v>
      </c>
      <c r="W240" s="172">
        <f t="shared" si="60"/>
        <v>0</v>
      </c>
      <c r="X240" s="172">
        <f t="shared" si="60"/>
        <v>0</v>
      </c>
      <c r="Y240" s="172">
        <f t="shared" si="60"/>
        <v>0</v>
      </c>
      <c r="Z240" s="172">
        <f t="shared" si="60"/>
        <v>0</v>
      </c>
      <c r="AA240" s="172">
        <f t="shared" si="60"/>
        <v>0</v>
      </c>
      <c r="AB240" s="332"/>
      <c r="AC240" s="332"/>
      <c r="AD240" s="332"/>
      <c r="AE240" s="332"/>
      <c r="AF240" s="332"/>
      <c r="AG240" s="332"/>
      <c r="AH240" s="332"/>
      <c r="AI240" s="332"/>
      <c r="AJ240" s="173">
        <f t="shared" ref="AJ240:AJ246" si="61">SUM(D240:AA240)</f>
        <v>0</v>
      </c>
      <c r="AK240" s="130"/>
      <c r="AL240" s="1142"/>
      <c r="AM240" s="31"/>
      <c r="AN240" s="1130"/>
      <c r="AO240" s="13">
        <v>144</v>
      </c>
      <c r="AP240" s="74"/>
      <c r="AQ240" s="75"/>
    </row>
    <row r="241" spans="1:43" ht="27" hidden="1" thickBot="1" x14ac:dyDescent="0.45">
      <c r="A241" s="1157"/>
      <c r="B241" s="169" t="s">
        <v>811</v>
      </c>
      <c r="C241" s="555" t="s">
        <v>821</v>
      </c>
      <c r="D241" s="174"/>
      <c r="E241" s="174"/>
      <c r="F241" s="174"/>
      <c r="G241" s="174"/>
      <c r="H241" s="174"/>
      <c r="I241" s="174"/>
      <c r="J241" s="174"/>
      <c r="K241" s="174"/>
      <c r="L241" s="174"/>
      <c r="M241" s="174"/>
      <c r="N241" s="174"/>
      <c r="O241" s="174"/>
      <c r="P241" s="174"/>
      <c r="Q241" s="174"/>
      <c r="R241" s="174"/>
      <c r="S241" s="174"/>
      <c r="T241" s="174"/>
      <c r="U241" s="174"/>
      <c r="V241" s="174"/>
      <c r="W241" s="174"/>
      <c r="X241" s="174"/>
      <c r="Y241" s="174"/>
      <c r="Z241" s="174"/>
      <c r="AA241" s="174"/>
      <c r="AB241" s="333"/>
      <c r="AC241" s="333"/>
      <c r="AD241" s="333"/>
      <c r="AE241" s="333"/>
      <c r="AF241" s="333"/>
      <c r="AG241" s="333"/>
      <c r="AH241" s="333"/>
      <c r="AI241" s="333"/>
      <c r="AJ241" s="29">
        <f t="shared" si="61"/>
        <v>0</v>
      </c>
      <c r="AK241" s="30" t="str">
        <f>CONCATENATE(IF(D242&gt;D241," * OPD Sexual Violence Initiated Pep "&amp;$D$20&amp;" "&amp;$D$21&amp;" is more than OPD Sexual Violence Rape Survivors"&amp;CHAR(10),""),IF(E242&gt;E241," * OPD Sexual Violence Initiated Pep "&amp;$D$20&amp;" "&amp;$E$21&amp;" is more than OPD Sexual Violence Rape Survivors"&amp;CHAR(10),""),IF(F242&gt;F241," * OPD Sexual Violence Initiated Pep "&amp;$F$20&amp;" "&amp;$F$21&amp;" is more than OPD Sexual Violence Rape Survivors"&amp;CHAR(10),""),IF(G242&gt;G241," * OPD Sexual Violence Initiated Pep "&amp;$F$20&amp;" "&amp;$G$21&amp;" is more than OPD Sexual Violence Rape Survivors"&amp;CHAR(10),""),IF(H242&gt;H241," * OPD Sexual Violence Initiated Pep "&amp;$H$20&amp;" "&amp;$H$21&amp;" is more than OPD Sexual Violence Rape Survivors"&amp;CHAR(10),""),IF(I242&gt;I241," * OPD Sexual Violence Initiated Pep "&amp;$H$20&amp;" "&amp;$I$21&amp;" is more than OPD Sexual Violence Rape Survivors"&amp;CHAR(10),""),IF(J242&gt;J241," * OPD Sexual Violence Initiated Pep "&amp;$J$20&amp;" "&amp;$J$21&amp;" is more than OPD Sexual Violence Rape Survivors"&amp;CHAR(10),""),IF(K242&gt;K241," * OPD Sexual Violence Initiated Pep "&amp;$J$20&amp;" "&amp;$K$21&amp;" is more than OPD Sexual Violence Rape Survivors"&amp;CHAR(10),""),IF(L242&gt;L241," * OPD Sexual Violence Initiated Pep "&amp;$L$20&amp;" "&amp;$L$21&amp;" is more than OPD Sexual Violence Rape Survivors"&amp;CHAR(10),""),IF(M242&gt;M241," * OPD Sexual Violence Initiated Pep "&amp;$L$20&amp;" "&amp;$M$21&amp;" is more than OPD Sexual Violence Rape Survivors"&amp;CHAR(10),""),IF(N242&gt;N241," * OPD Sexual Violence Initiated Pep "&amp;$N$20&amp;" "&amp;$N$21&amp;" is more than OPD Sexual Violence Rape Survivors"&amp;CHAR(10),""),IF(O242&gt;O241," * OPD Sexual Violence Initiated Pep "&amp;$N$20&amp;" "&amp;$O$21&amp;" is more than OPD Sexual Violence Rape Survivors"&amp;CHAR(10),""),IF(P242&gt;P241," * OPD Sexual Violence Initiated Pep "&amp;$P$20&amp;" "&amp;$P$21&amp;" is more than OPD Sexual Violence Rape Survivors"&amp;CHAR(10),""),IF(Q242&gt;Q241," * OPD Sexual Violence Initiated Pep "&amp;$P$20&amp;" "&amp;$Q$21&amp;" is more than OPD Sexual Violence Rape Survivors"&amp;CHAR(10),""),IF(R242&gt;R241," * OPD Sexual Violence Initiated Pep "&amp;$R$20&amp;" "&amp;$R$21&amp;" is more than OPD Sexual Violence Rape Survivors"&amp;CHAR(10),""),IF(S242&gt;S241," * OPD Sexual Violence Initiated Pep "&amp;$R$20&amp;" "&amp;$S$21&amp;" is more than OPD Sexual Violence Rape Survivors"&amp;CHAR(10),""),IF(T242&gt;T241," * OPD Sexual Violence Initiated Pep "&amp;$T$20&amp;" "&amp;$T$21&amp;" is more than OPD Sexual Violence Rape Survivors"&amp;CHAR(10),""),IF(U242&gt;U241," * OPD Sexual Violence Initiated Pep "&amp;$T$20&amp;" "&amp;$U$21&amp;" is more than OPD Sexual Violence Rape Survivors"&amp;CHAR(10),""),IF(V242&gt;V241," * OPD Sexual Violence Initiated Pep "&amp;$V$20&amp;" "&amp;$V$21&amp;" is more than OPD Sexual Violence Rape Survivors"&amp;CHAR(10),""),IF(W242&gt;W241," * OPD Sexual Violence Initiated Pep "&amp;$V$20&amp;" "&amp;$W$21&amp;" is more than OPD Sexual Violence Rape Survivors"&amp;CHAR(10),""),IF(X242&gt;X241," * OPD Sexual Violence Initiated Pep "&amp;$X$20&amp;" "&amp;$X$21&amp;" is more than OPD Sexual Violence Rape Survivors"&amp;CHAR(10),""),IF(Y242&gt;Y241," * OPD Sexual Violence Initiated Pep "&amp;$X$20&amp;" "&amp;$Y$21&amp;" is more than OPD Sexual Violence Rape Survivors"&amp;CHAR(10),""),IF(Z242&gt;Z241," * OPD Sexual Violence Initiated Pep "&amp;$Z$20&amp;" "&amp;$Z$21&amp;" is more than OPD Sexual Violence Rape Survivors"&amp;CHAR(10),""),IF(AA242&gt;AA241," * OPD Sexual Violence Initiated Pep "&amp;$Z$20&amp;" "&amp;$AA$21&amp;" is more than OPD Sexual Violence Rape Survivors"&amp;CHAR(10),""))</f>
        <v/>
      </c>
      <c r="AL241" s="1142"/>
      <c r="AM241" s="31"/>
      <c r="AN241" s="1130"/>
      <c r="AO241" s="13">
        <v>145</v>
      </c>
      <c r="AP241" s="74"/>
      <c r="AQ241" s="75"/>
    </row>
    <row r="242" spans="1:43" ht="27" hidden="1" thickBot="1" x14ac:dyDescent="0.45">
      <c r="A242" s="1157"/>
      <c r="B242" s="169" t="s">
        <v>812</v>
      </c>
      <c r="C242" s="555" t="s">
        <v>822</v>
      </c>
      <c r="D242" s="175"/>
      <c r="E242" s="175"/>
      <c r="F242" s="175"/>
      <c r="G242" s="175"/>
      <c r="H242" s="175"/>
      <c r="I242" s="175"/>
      <c r="J242" s="175"/>
      <c r="K242" s="175"/>
      <c r="L242" s="175"/>
      <c r="M242" s="175"/>
      <c r="N242" s="175"/>
      <c r="O242" s="175"/>
      <c r="P242" s="175"/>
      <c r="Q242" s="175"/>
      <c r="R242" s="175"/>
      <c r="S242" s="175"/>
      <c r="T242" s="175"/>
      <c r="U242" s="175"/>
      <c r="V242" s="175"/>
      <c r="W242" s="175"/>
      <c r="X242" s="175"/>
      <c r="Y242" s="175"/>
      <c r="Z242" s="175"/>
      <c r="AA242" s="175"/>
      <c r="AB242" s="333"/>
      <c r="AC242" s="333"/>
      <c r="AD242" s="333"/>
      <c r="AE242" s="333"/>
      <c r="AF242" s="333"/>
      <c r="AG242" s="333"/>
      <c r="AH242" s="333"/>
      <c r="AI242" s="333"/>
      <c r="AJ242" s="29">
        <f t="shared" si="61"/>
        <v>0</v>
      </c>
      <c r="AK242" s="130"/>
      <c r="AL242" s="1142"/>
      <c r="AM242" s="31"/>
      <c r="AN242" s="1130"/>
      <c r="AO242" s="13">
        <v>146</v>
      </c>
      <c r="AP242" s="74"/>
      <c r="AQ242" s="75"/>
    </row>
    <row r="243" spans="1:43" ht="27" hidden="1" thickBot="1" x14ac:dyDescent="0.45">
      <c r="A243" s="1157"/>
      <c r="B243" s="169" t="s">
        <v>813</v>
      </c>
      <c r="C243" s="555" t="s">
        <v>823</v>
      </c>
      <c r="D243" s="174"/>
      <c r="E243" s="174"/>
      <c r="F243" s="174"/>
      <c r="G243" s="174"/>
      <c r="H243" s="174"/>
      <c r="I243" s="174"/>
      <c r="J243" s="174"/>
      <c r="K243" s="174"/>
      <c r="L243" s="174"/>
      <c r="M243" s="174"/>
      <c r="N243" s="174"/>
      <c r="O243" s="174"/>
      <c r="P243" s="174"/>
      <c r="Q243" s="174"/>
      <c r="R243" s="174"/>
      <c r="S243" s="174"/>
      <c r="T243" s="174"/>
      <c r="U243" s="174"/>
      <c r="V243" s="174"/>
      <c r="W243" s="174"/>
      <c r="X243" s="174"/>
      <c r="Y243" s="174"/>
      <c r="Z243" s="174"/>
      <c r="AA243" s="174"/>
      <c r="AB243" s="333"/>
      <c r="AC243" s="333"/>
      <c r="AD243" s="333"/>
      <c r="AE243" s="333"/>
      <c r="AF243" s="333"/>
      <c r="AG243" s="333"/>
      <c r="AH243" s="333"/>
      <c r="AI243" s="333"/>
      <c r="AJ243" s="29">
        <f t="shared" si="61"/>
        <v>0</v>
      </c>
      <c r="AK243" s="30" t="str">
        <f>CONCATENATE(IF(D244&gt;D243," * OPD  Physical Violence Initiated Pep "&amp;$D$20&amp;" "&amp;$D$21&amp;" is more than OPD Physical Violence Rape Survivors"&amp;CHAR(10),""),IF(E244&gt;E243," * OPD  Physical Violence Initiated Pep "&amp;$D$20&amp;" "&amp;$E$21&amp;" is more than OPD Physical Violence Rape Survivors"&amp;CHAR(10),""),IF(F244&gt;F243," * OPD  Physical Violence Initiated Pep "&amp;$F$20&amp;" "&amp;$F$21&amp;" is more than OPD Physical Violence Rape Survivors"&amp;CHAR(10),""),IF(G244&gt;G243," * OPD  Physical Violence Initiated Pep "&amp;$F$20&amp;" "&amp;$G$21&amp;" is more than OPD Physical Violence Rape Survivors"&amp;CHAR(10),""),IF(H244&gt;H243," * OPD  Physical Violence Initiated Pep "&amp;$H$20&amp;" "&amp;$H$21&amp;" is more than OPD Physical Violence Rape Survivors"&amp;CHAR(10),""),IF(I244&gt;I243," * OPD  Physical Violence Initiated Pep "&amp;$H$20&amp;" "&amp;$I$21&amp;" is more than OPD Physical Violence Rape Survivors"&amp;CHAR(10),""),IF(J244&gt;J243," * OPD  Physical Violence Initiated Pep "&amp;$J$20&amp;" "&amp;$J$21&amp;" is more than OPD Physical Violence Rape Survivors"&amp;CHAR(10),""),IF(K244&gt;K243," * OPD  Physical Violence Initiated Pep "&amp;$J$20&amp;" "&amp;$K$21&amp;" is more than OPD Physical Violence Rape Survivors"&amp;CHAR(10),""),IF(L244&gt;L243," * OPD  Physical Violence Initiated Pep "&amp;$L$20&amp;" "&amp;$L$21&amp;" is more than OPD Physical Violence Rape Survivors"&amp;CHAR(10),""),IF(M244&gt;M243," * OPD  Physical Violence Initiated Pep "&amp;$L$20&amp;" "&amp;$M$21&amp;" is more than OPD Physical Violence Rape Survivors"&amp;CHAR(10),""),IF(N244&gt;N243," * OPD  Physical Violence Initiated Pep "&amp;$N$20&amp;" "&amp;$N$21&amp;" is more than OPD Physical Violence Rape Survivors"&amp;CHAR(10),""),IF(O244&gt;O243," * OPD  Physical Violence Initiated Pep "&amp;$N$20&amp;" "&amp;$O$21&amp;" is more than OPD Physical Violence Rape Survivors"&amp;CHAR(10),""),IF(P244&gt;P243," * OPD  Physical Violence Initiated Pep "&amp;$P$20&amp;" "&amp;$P$21&amp;" is more than OPD Physical Violence Rape Survivors"&amp;CHAR(10),""),IF(Q244&gt;Q243," * OPD  Physical Violence Initiated Pep "&amp;$P$20&amp;" "&amp;$Q$21&amp;" is more than OPD Physical Violence Rape Survivors"&amp;CHAR(10),""),IF(R244&gt;R243," * OPD  Physical Violence Initiated Pep "&amp;$R$20&amp;" "&amp;$R$21&amp;" is more than OPD Physical Violence Rape Survivors"&amp;CHAR(10),""),IF(S244&gt;S243," * OPD  Physical Violence Initiated Pep "&amp;$R$20&amp;" "&amp;$S$21&amp;" is more than OPD Physical Violence Rape Survivors"&amp;CHAR(10),""),IF(T244&gt;T243," * OPD  Physical Violence Initiated Pep "&amp;$T$20&amp;" "&amp;$T$21&amp;" is more than OPD Physical Violence Rape Survivors"&amp;CHAR(10),""),IF(U244&gt;U243," * OPD  Physical Violence Initiated Pep "&amp;$T$20&amp;" "&amp;$U$21&amp;" is more than OPD Physical Violence Rape Survivors"&amp;CHAR(10),""),IF(V244&gt;V243," * OPD  Physical Violence Initiated Pep "&amp;$V$20&amp;" "&amp;$V$21&amp;" is more than OPD Physical Violence Rape Survivors"&amp;CHAR(10),""),IF(W244&gt;W243," * OPD  Physical Violence Initiated Pep "&amp;$V$20&amp;" "&amp;$W$21&amp;" is more than OPD Physical Violence Rape Survivors"&amp;CHAR(10),""),IF(X244&gt;X243," * OPD  Physical Violence Initiated Pep "&amp;$X$20&amp;" "&amp;$X$21&amp;" is more than OPD Physical Violence Rape Survivors"&amp;CHAR(10),""),IF(Y244&gt;Y243," * OPD  Physical Violence Initiated Pep "&amp;$X$20&amp;" "&amp;$Y$21&amp;" is more than OPD Physical Violence Rape Survivors"&amp;CHAR(10),""),IF(Z244&gt;Z243," * OPD  Physical Violence Initiated Pep "&amp;$Z$20&amp;" "&amp;$Z$21&amp;" is more than OPD Physical Violence Rape Survivors"&amp;CHAR(10),""),IF(AA244&gt;AA243," * OPD  Physical Violence Initiated Pep "&amp;$Z$20&amp;" "&amp;$AA$21&amp;" is more than OPD Physical Violence Rape Survivors"&amp;CHAR(10),""))</f>
        <v/>
      </c>
      <c r="AL243" s="1142"/>
      <c r="AM243" s="31"/>
      <c r="AN243" s="1130"/>
      <c r="AO243" s="13">
        <v>147</v>
      </c>
      <c r="AP243" s="74"/>
      <c r="AQ243" s="75"/>
    </row>
    <row r="244" spans="1:43" ht="27" hidden="1" thickBot="1" x14ac:dyDescent="0.45">
      <c r="A244" s="1157"/>
      <c r="B244" s="169" t="s">
        <v>814</v>
      </c>
      <c r="C244" s="555" t="s">
        <v>824</v>
      </c>
      <c r="D244" s="175"/>
      <c r="E244" s="175"/>
      <c r="F244" s="175"/>
      <c r="G244" s="175"/>
      <c r="H244" s="175"/>
      <c r="I244" s="175"/>
      <c r="J244" s="175"/>
      <c r="K244" s="175"/>
      <c r="L244" s="175"/>
      <c r="M244" s="175"/>
      <c r="N244" s="175"/>
      <c r="O244" s="175"/>
      <c r="P244" s="175"/>
      <c r="Q244" s="175"/>
      <c r="R244" s="175"/>
      <c r="S244" s="175"/>
      <c r="T244" s="175"/>
      <c r="U244" s="175"/>
      <c r="V244" s="175"/>
      <c r="W244" s="175"/>
      <c r="X244" s="175"/>
      <c r="Y244" s="175"/>
      <c r="Z244" s="175"/>
      <c r="AA244" s="175"/>
      <c r="AB244" s="333"/>
      <c r="AC244" s="333"/>
      <c r="AD244" s="333"/>
      <c r="AE244" s="333"/>
      <c r="AF244" s="333"/>
      <c r="AG244" s="333"/>
      <c r="AH244" s="333"/>
      <c r="AI244" s="333"/>
      <c r="AJ244" s="29">
        <f t="shared" si="61"/>
        <v>0</v>
      </c>
      <c r="AK244" s="130"/>
      <c r="AL244" s="1142"/>
      <c r="AM244" s="31"/>
      <c r="AN244" s="1130"/>
      <c r="AO244" s="13">
        <v>148</v>
      </c>
      <c r="AP244" s="74"/>
      <c r="AQ244" s="75"/>
    </row>
    <row r="245" spans="1:43" ht="27" hidden="1" thickBot="1" x14ac:dyDescent="0.45">
      <c r="A245" s="1157"/>
      <c r="B245" s="169" t="s">
        <v>815</v>
      </c>
      <c r="C245" s="555" t="s">
        <v>825</v>
      </c>
      <c r="D245" s="176"/>
      <c r="E245" s="175"/>
      <c r="F245" s="175"/>
      <c r="G245" s="175"/>
      <c r="H245" s="175"/>
      <c r="I245" s="175"/>
      <c r="J245" s="175"/>
      <c r="K245" s="175"/>
      <c r="L245" s="175"/>
      <c r="M245" s="175"/>
      <c r="N245" s="175"/>
      <c r="O245" s="175"/>
      <c r="P245" s="175"/>
      <c r="Q245" s="175"/>
      <c r="R245" s="175"/>
      <c r="S245" s="175"/>
      <c r="T245" s="175"/>
      <c r="U245" s="175"/>
      <c r="V245" s="175"/>
      <c r="W245" s="175"/>
      <c r="X245" s="175"/>
      <c r="Y245" s="175"/>
      <c r="Z245" s="175"/>
      <c r="AA245" s="177"/>
      <c r="AB245" s="333"/>
      <c r="AC245" s="333"/>
      <c r="AD245" s="333"/>
      <c r="AE245" s="333"/>
      <c r="AF245" s="333"/>
      <c r="AG245" s="333"/>
      <c r="AH245" s="333"/>
      <c r="AI245" s="333"/>
      <c r="AJ245" s="29">
        <f t="shared" si="61"/>
        <v>0</v>
      </c>
      <c r="AK245" s="130"/>
      <c r="AL245" s="1142"/>
      <c r="AM245" s="31"/>
      <c r="AN245" s="1130"/>
      <c r="AO245" s="13">
        <v>149</v>
      </c>
      <c r="AP245" s="74"/>
      <c r="AQ245" s="75"/>
    </row>
    <row r="246" spans="1:43" ht="27" hidden="1" thickBot="1" x14ac:dyDescent="0.45">
      <c r="A246" s="1158"/>
      <c r="B246" s="178" t="s">
        <v>850</v>
      </c>
      <c r="C246" s="556" t="s">
        <v>826</v>
      </c>
      <c r="D246" s="179"/>
      <c r="E246" s="180"/>
      <c r="F246" s="180"/>
      <c r="G246" s="180"/>
      <c r="H246" s="180"/>
      <c r="I246" s="180"/>
      <c r="J246" s="180"/>
      <c r="K246" s="180"/>
      <c r="L246" s="180"/>
      <c r="M246" s="180"/>
      <c r="N246" s="180"/>
      <c r="O246" s="180"/>
      <c r="P246" s="180"/>
      <c r="Q246" s="180"/>
      <c r="R246" s="180"/>
      <c r="S246" s="180"/>
      <c r="T246" s="180"/>
      <c r="U246" s="180"/>
      <c r="V246" s="180"/>
      <c r="W246" s="180"/>
      <c r="X246" s="180"/>
      <c r="Y246" s="180"/>
      <c r="Z246" s="180"/>
      <c r="AA246" s="181"/>
      <c r="AB246" s="333"/>
      <c r="AC246" s="333"/>
      <c r="AD246" s="333"/>
      <c r="AE246" s="333"/>
      <c r="AF246" s="333"/>
      <c r="AG246" s="333"/>
      <c r="AH246" s="333"/>
      <c r="AI246" s="333"/>
      <c r="AJ246" s="29">
        <f t="shared" si="61"/>
        <v>0</v>
      </c>
      <c r="AK246" s="130"/>
      <c r="AL246" s="1143"/>
      <c r="AM246" s="73"/>
      <c r="AN246" s="1130"/>
      <c r="AO246" s="13">
        <v>150</v>
      </c>
      <c r="AP246" s="74"/>
      <c r="AQ246" s="75"/>
    </row>
    <row r="247" spans="1:43" ht="27" hidden="1" thickBot="1" x14ac:dyDescent="0.45">
      <c r="A247" s="1156" t="s">
        <v>817</v>
      </c>
      <c r="B247" s="167" t="s">
        <v>861</v>
      </c>
      <c r="C247" s="557" t="s">
        <v>827</v>
      </c>
      <c r="D247" s="168">
        <f t="shared" ref="D247:AA247" si="62">D11</f>
        <v>0</v>
      </c>
      <c r="E247" s="168">
        <f t="shared" si="62"/>
        <v>0</v>
      </c>
      <c r="F247" s="168">
        <f t="shared" si="62"/>
        <v>0</v>
      </c>
      <c r="G247" s="168">
        <f t="shared" si="62"/>
        <v>0</v>
      </c>
      <c r="H247" s="168">
        <f t="shared" si="62"/>
        <v>0</v>
      </c>
      <c r="I247" s="168">
        <f t="shared" si="62"/>
        <v>0</v>
      </c>
      <c r="J247" s="168">
        <f t="shared" si="62"/>
        <v>0</v>
      </c>
      <c r="K247" s="168">
        <f t="shared" si="62"/>
        <v>0</v>
      </c>
      <c r="L247" s="168">
        <f t="shared" si="62"/>
        <v>0</v>
      </c>
      <c r="M247" s="168">
        <f t="shared" si="62"/>
        <v>0</v>
      </c>
      <c r="N247" s="168">
        <f t="shared" si="62"/>
        <v>0</v>
      </c>
      <c r="O247" s="168">
        <f t="shared" si="62"/>
        <v>0</v>
      </c>
      <c r="P247" s="168">
        <f t="shared" si="62"/>
        <v>0</v>
      </c>
      <c r="Q247" s="168">
        <f t="shared" si="62"/>
        <v>0</v>
      </c>
      <c r="R247" s="168">
        <f t="shared" si="62"/>
        <v>0</v>
      </c>
      <c r="S247" s="168">
        <f t="shared" si="62"/>
        <v>0</v>
      </c>
      <c r="T247" s="168">
        <f t="shared" si="62"/>
        <v>0</v>
      </c>
      <c r="U247" s="168">
        <f t="shared" si="62"/>
        <v>0</v>
      </c>
      <c r="V247" s="168">
        <f t="shared" si="62"/>
        <v>0</v>
      </c>
      <c r="W247" s="168">
        <f t="shared" si="62"/>
        <v>0</v>
      </c>
      <c r="X247" s="168">
        <f t="shared" si="62"/>
        <v>0</v>
      </c>
      <c r="Y247" s="168">
        <f t="shared" si="62"/>
        <v>0</v>
      </c>
      <c r="Z247" s="168">
        <f t="shared" si="62"/>
        <v>0</v>
      </c>
      <c r="AA247" s="168">
        <f t="shared" si="62"/>
        <v>0</v>
      </c>
      <c r="AB247" s="168"/>
      <c r="AC247" s="168"/>
      <c r="AD247" s="168"/>
      <c r="AE247" s="168"/>
      <c r="AF247" s="168"/>
      <c r="AG247" s="168"/>
      <c r="AH247" s="168"/>
      <c r="AI247" s="168"/>
      <c r="AJ247" s="168">
        <f>AJ11</f>
        <v>0</v>
      </c>
      <c r="AK247" s="30" t="str">
        <f>CONCATENATE(IF(D248&gt;D247," * No Screened for GBV "&amp;$D$20&amp;" "&amp;$D$21&amp;" is more than Clients Seen at IPD"&amp;CHAR(10),""),IF(E248&gt;E247," * No Screened For GBV "&amp;$D$20&amp;" "&amp;$E$21&amp;" is more than Clients Seen at IPD"&amp;CHAR(10),""),IF(F248&gt;F247," * No Screened For GBV "&amp;$F$20&amp;" "&amp;$F$21&amp;" is more than Clients Seen at IPD"&amp;CHAR(10),""),IF(G248&gt;G247," * No Screened For GBV "&amp;$F$20&amp;" "&amp;$G$21&amp;" is more than Clients Seen at IPD"&amp;CHAR(10),""),IF(H248&gt;H247," * No Screened For GBV "&amp;$H$20&amp;" "&amp;$H$21&amp;" is more than Clients Seen at IPD"&amp;CHAR(10),""),IF(I248&gt;I247," * No Screened For GBV "&amp;$H$20&amp;" "&amp;$I$21&amp;" is more than Clients Seen at IPD"&amp;CHAR(10),""),IF(J248&gt;J247," * No Screened For GBV "&amp;$J$20&amp;" "&amp;$J$21&amp;" is more than Clients Seen at IPD"&amp;CHAR(10),""),IF(K248&gt;K247," * No Screened For GBV "&amp;$J$20&amp;" "&amp;$K$21&amp;" is more than Clients Seen at IPD"&amp;CHAR(10),""),IF(L248&gt;L247," * No Screened For GBV "&amp;$L$20&amp;" "&amp;$L$21&amp;" is more than Clients Seen at IPD"&amp;CHAR(10),""),IF(M248&gt;M247," * No Screened For GBV "&amp;$L$20&amp;" "&amp;$M$21&amp;" is more than Clients Seen at IPD"&amp;CHAR(10),""),IF(N248&gt;N247," * No Screened For GBV "&amp;$N$20&amp;" "&amp;$N$21&amp;" is more than Clients Seen at IPD"&amp;CHAR(10),""),IF(O248&gt;O247," * No Screened For GBV "&amp;$N$20&amp;" "&amp;$O$21&amp;" is more than Clients Seen at IPD"&amp;CHAR(10),""),IF(P248&gt;P247," * No Screened For GBV "&amp;$P$20&amp;" "&amp;$P$21&amp;" is more than Clients Seen at IPD"&amp;CHAR(10),""),IF(Q248&gt;Q247," * No Screened For GBV "&amp;$P$20&amp;" "&amp;$Q$21&amp;" is more than Clients Seen at IPD"&amp;CHAR(10),""),IF(R248&gt;R247," * No Screened For GBV "&amp;$R$20&amp;" "&amp;$R$21&amp;" is more than Clients Seen at IPD"&amp;CHAR(10),""),IF(S248&gt;S247," * No Screened For GBV "&amp;$R$20&amp;" "&amp;$S$21&amp;" is more than Clients Seen at IPD"&amp;CHAR(10),""),IF(T248&gt;T247," * No Screened For GBV "&amp;$T$20&amp;" "&amp;$T$21&amp;" is more than Clients Seen at IPD"&amp;CHAR(10),""),IF(U248&gt;U247," * No Screened For GBV "&amp;$T$20&amp;" "&amp;$U$21&amp;" is more than Clients Seen at IPD"&amp;CHAR(10),""),IF(V248&gt;V247," * No Screened For GBV "&amp;$V$20&amp;" "&amp;$V$21&amp;" is more than Clients Seen at IPD"&amp;CHAR(10),""),IF(W248&gt;W247," * No Screened For GBV "&amp;$V$20&amp;" "&amp;$W$21&amp;" is more than Clients Seen at IPD"&amp;CHAR(10),""),IF(X248&gt;X247," * No Screened For GBV "&amp;$X$20&amp;" "&amp;$X$21&amp;" is more than Clients Seen at IPD"&amp;CHAR(10),""),IF(Y248&gt;Y247," * No Screened For GBV "&amp;$X$20&amp;" "&amp;$Y$21&amp;" is more than Clients Seen at IPD"&amp;CHAR(10),""),IF(Z248&gt;Z247," * No Screened For GBV "&amp;$Z$20&amp;" "&amp;$Z$21&amp;" is more than Clients Seen at IPD"&amp;CHAR(10),""),IF(AA248&gt;AA247," * No Screened For GBV "&amp;$Z$20&amp;" "&amp;$AA$21&amp;" is more than Clients Seen at IPD"&amp;CHAR(10),""))</f>
        <v/>
      </c>
      <c r="AL247" s="1121" t="str">
        <f>CONCATENATE(AK247,AK248,AK249,AK250,AK251,AK252,AK253,AK254,AK255)</f>
        <v/>
      </c>
      <c r="AM247" s="73"/>
      <c r="AN247" s="1130"/>
      <c r="AO247" s="13">
        <v>151</v>
      </c>
      <c r="AP247" s="74"/>
      <c r="AQ247" s="75"/>
    </row>
    <row r="248" spans="1:43" ht="27" hidden="1" thickBot="1" x14ac:dyDescent="0.45">
      <c r="A248" s="1157"/>
      <c r="B248" s="169" t="s">
        <v>856</v>
      </c>
      <c r="C248" s="555" t="s">
        <v>828</v>
      </c>
      <c r="D248" s="170"/>
      <c r="E248" s="170"/>
      <c r="F248" s="170"/>
      <c r="G248" s="170"/>
      <c r="H248" s="170"/>
      <c r="I248" s="170"/>
      <c r="J248" s="170"/>
      <c r="K248" s="170"/>
      <c r="L248" s="170"/>
      <c r="M248" s="170"/>
      <c r="N248" s="170"/>
      <c r="O248" s="170"/>
      <c r="P248" s="170"/>
      <c r="Q248" s="170"/>
      <c r="R248" s="170"/>
      <c r="S248" s="170"/>
      <c r="T248" s="170"/>
      <c r="U248" s="170"/>
      <c r="V248" s="170"/>
      <c r="W248" s="170"/>
      <c r="X248" s="170"/>
      <c r="Y248" s="170"/>
      <c r="Z248" s="170"/>
      <c r="AA248" s="170"/>
      <c r="AB248" s="333"/>
      <c r="AC248" s="333"/>
      <c r="AD248" s="333"/>
      <c r="AE248" s="333"/>
      <c r="AF248" s="333"/>
      <c r="AG248" s="333"/>
      <c r="AH248" s="333"/>
      <c r="AI248" s="333"/>
      <c r="AJ248" s="66">
        <f t="shared" ref="AJ248:AJ273" si="63">SUM(D248:AA248)</f>
        <v>0</v>
      </c>
      <c r="AK248" s="130"/>
      <c r="AL248" s="1122"/>
      <c r="AM248" s="31"/>
      <c r="AN248" s="1130"/>
      <c r="AO248" s="13">
        <v>152</v>
      </c>
      <c r="AP248" s="74"/>
      <c r="AQ248" s="75"/>
    </row>
    <row r="249" spans="1:43" ht="27" hidden="1" thickBot="1" x14ac:dyDescent="0.45">
      <c r="A249" s="1157"/>
      <c r="B249" s="171" t="s">
        <v>864</v>
      </c>
      <c r="C249" s="555" t="s">
        <v>829</v>
      </c>
      <c r="D249" s="172">
        <f>D250+D252+D254+D255</f>
        <v>0</v>
      </c>
      <c r="E249" s="172">
        <f t="shared" ref="E249" si="64">E250+E252+E254+E255</f>
        <v>0</v>
      </c>
      <c r="F249" s="172">
        <f t="shared" ref="F249" si="65">F250+F252+F254+F255</f>
        <v>0</v>
      </c>
      <c r="G249" s="172">
        <f t="shared" ref="G249" si="66">G250+G252+G254+G255</f>
        <v>0</v>
      </c>
      <c r="H249" s="172">
        <f t="shared" ref="H249" si="67">H250+H252+H254+H255</f>
        <v>0</v>
      </c>
      <c r="I249" s="172">
        <f t="shared" ref="I249" si="68">I250+I252+I254+I255</f>
        <v>0</v>
      </c>
      <c r="J249" s="172">
        <f t="shared" ref="J249" si="69">J250+J252+J254+J255</f>
        <v>0</v>
      </c>
      <c r="K249" s="172">
        <f t="shared" ref="K249" si="70">K250+K252+K254+K255</f>
        <v>0</v>
      </c>
      <c r="L249" s="172">
        <f t="shared" ref="L249" si="71">L250+L252+L254+L255</f>
        <v>0</v>
      </c>
      <c r="M249" s="172">
        <f t="shared" ref="M249" si="72">M250+M252+M254+M255</f>
        <v>0</v>
      </c>
      <c r="N249" s="172">
        <f t="shared" ref="N249" si="73">N250+N252+N254+N255</f>
        <v>0</v>
      </c>
      <c r="O249" s="172">
        <f t="shared" ref="O249" si="74">O250+O252+O254+O255</f>
        <v>0</v>
      </c>
      <c r="P249" s="172">
        <f t="shared" ref="P249" si="75">P250+P252+P254+P255</f>
        <v>0</v>
      </c>
      <c r="Q249" s="172">
        <f t="shared" ref="Q249" si="76">Q250+Q252+Q254+Q255</f>
        <v>0</v>
      </c>
      <c r="R249" s="172">
        <f t="shared" ref="R249" si="77">R250+R252+R254+R255</f>
        <v>0</v>
      </c>
      <c r="S249" s="172">
        <f t="shared" ref="S249" si="78">S250+S252+S254+S255</f>
        <v>0</v>
      </c>
      <c r="T249" s="172">
        <f t="shared" ref="T249" si="79">T250+T252+T254+T255</f>
        <v>0</v>
      </c>
      <c r="U249" s="172">
        <f t="shared" ref="U249" si="80">U250+U252+U254+U255</f>
        <v>0</v>
      </c>
      <c r="V249" s="172">
        <f t="shared" ref="V249" si="81">V250+V252+V254+V255</f>
        <v>0</v>
      </c>
      <c r="W249" s="172">
        <f t="shared" ref="W249" si="82">W250+W252+W254+W255</f>
        <v>0</v>
      </c>
      <c r="X249" s="172">
        <f t="shared" ref="X249" si="83">X250+X252+X254+X255</f>
        <v>0</v>
      </c>
      <c r="Y249" s="172">
        <f t="shared" ref="Y249" si="84">Y250+Y252+Y254+Y255</f>
        <v>0</v>
      </c>
      <c r="Z249" s="172">
        <f t="shared" ref="Z249" si="85">Z250+Z252+Z254+Z255</f>
        <v>0</v>
      </c>
      <c r="AA249" s="172">
        <f t="shared" ref="AA249" si="86">AA250+AA252+AA254+AA255</f>
        <v>0</v>
      </c>
      <c r="AB249" s="332"/>
      <c r="AC249" s="332"/>
      <c r="AD249" s="332"/>
      <c r="AE249" s="332"/>
      <c r="AF249" s="332"/>
      <c r="AG249" s="332"/>
      <c r="AH249" s="332"/>
      <c r="AI249" s="332"/>
      <c r="AJ249" s="66">
        <f t="shared" si="63"/>
        <v>0</v>
      </c>
      <c r="AK249" s="130"/>
      <c r="AL249" s="1122"/>
      <c r="AM249" s="31"/>
      <c r="AN249" s="1130"/>
      <c r="AO249" s="13">
        <v>153</v>
      </c>
      <c r="AP249" s="74"/>
      <c r="AQ249" s="75"/>
    </row>
    <row r="250" spans="1:43" ht="27" hidden="1" thickBot="1" x14ac:dyDescent="0.45">
      <c r="A250" s="1157"/>
      <c r="B250" s="169" t="s">
        <v>811</v>
      </c>
      <c r="C250" s="555" t="s">
        <v>830</v>
      </c>
      <c r="D250" s="174"/>
      <c r="E250" s="174"/>
      <c r="F250" s="174"/>
      <c r="G250" s="174"/>
      <c r="H250" s="174"/>
      <c r="I250" s="174"/>
      <c r="J250" s="174"/>
      <c r="K250" s="174"/>
      <c r="L250" s="174"/>
      <c r="M250" s="174"/>
      <c r="N250" s="174"/>
      <c r="O250" s="174"/>
      <c r="P250" s="174"/>
      <c r="Q250" s="174"/>
      <c r="R250" s="174"/>
      <c r="S250" s="174"/>
      <c r="T250" s="174"/>
      <c r="U250" s="174"/>
      <c r="V250" s="174"/>
      <c r="W250" s="174"/>
      <c r="X250" s="174"/>
      <c r="Y250" s="174"/>
      <c r="Z250" s="174"/>
      <c r="AA250" s="174"/>
      <c r="AB250" s="333"/>
      <c r="AC250" s="333"/>
      <c r="AD250" s="333"/>
      <c r="AE250" s="333"/>
      <c r="AF250" s="333"/>
      <c r="AG250" s="333"/>
      <c r="AH250" s="333"/>
      <c r="AI250" s="333"/>
      <c r="AJ250" s="66">
        <f t="shared" si="63"/>
        <v>0</v>
      </c>
      <c r="AK250" s="30" t="str">
        <f>CONCATENATE(IF(D251&gt;D250," * IPD Sexual Violence Initiated Pep "&amp;$D$20&amp;" "&amp;$D$21&amp;" is more than IPD Sexual Violence Rape Survivors"&amp;CHAR(10),""),IF(E251&gt;E250," * IPD Sexual Violence Initiated Pep "&amp;$D$20&amp;" "&amp;$E$21&amp;" is more than IPD Sexual Violence Rape Survivors"&amp;CHAR(10),""),IF(F251&gt;F250," * IPD Sexual Violence Initiated Pep "&amp;$F$20&amp;" "&amp;$F$21&amp;" is more than IPD Sexual Violence Rape Survivors"&amp;CHAR(10),""),IF(G251&gt;G250," * IPD Sexual Violence Initiated Pep "&amp;$F$20&amp;" "&amp;$G$21&amp;" is more than IPD Sexual Violence Rape Survivors"&amp;CHAR(10),""),IF(H251&gt;H250," * IPD Sexual Violence Initiated Pep "&amp;$H$20&amp;" "&amp;$H$21&amp;" is more than IPD Sexual Violence Rape Survivors"&amp;CHAR(10),""),IF(I251&gt;I250," * IPD Sexual Violence Initiated Pep "&amp;$H$20&amp;" "&amp;$I$21&amp;" is more than IPD Sexual Violence Rape Survivors"&amp;CHAR(10),""),IF(J251&gt;J250," * IPD Sexual Violence Initiated Pep "&amp;$J$20&amp;" "&amp;$J$21&amp;" is more than IPD Sexual Violence Rape Survivors"&amp;CHAR(10),""),IF(K251&gt;K250," * IPD Sexual Violence Initiated Pep "&amp;$J$20&amp;" "&amp;$K$21&amp;" is more than IPD Sexual Violence Rape Survivors"&amp;CHAR(10),""),IF(L251&gt;L250," * IPD Sexual Violence Initiated Pep "&amp;$L$20&amp;" "&amp;$L$21&amp;" is more than IPD Sexual Violence Rape Survivors"&amp;CHAR(10),""),IF(M251&gt;M250," * IPD Sexual Violence Initiated Pep "&amp;$L$20&amp;" "&amp;$M$21&amp;" is more than IPD Sexual Violence Rape Survivors"&amp;CHAR(10),""),IF(N251&gt;N250," * IPD Sexual Violence Initiated Pep "&amp;$N$20&amp;" "&amp;$N$21&amp;" is more than IPD Sexual Violence Rape Survivors"&amp;CHAR(10),""),IF(O251&gt;O250," * IPD Sexual Violence Initiated Pep "&amp;$N$20&amp;" "&amp;$O$21&amp;" is more than IPD Sexual Violence Rape Survivors"&amp;CHAR(10),""),IF(P251&gt;P250," * IPD Sexual Violence Initiated Pep "&amp;$P$20&amp;" "&amp;$P$21&amp;" is more than IPD Sexual Violence Rape Survivors"&amp;CHAR(10),""),IF(Q251&gt;Q250," * IPD Sexual Violence Initiated Pep "&amp;$P$20&amp;" "&amp;$Q$21&amp;" is more than IPD Sexual Violence Rape Survivors"&amp;CHAR(10),""),IF(R251&gt;R250," * IPD Sexual Violence Initiated Pep "&amp;$R$20&amp;" "&amp;$R$21&amp;" is more than IPD Sexual Violence Rape Survivors"&amp;CHAR(10),""),IF(S251&gt;S250," * IPD Sexual Violence Initiated Pep "&amp;$R$20&amp;" "&amp;$S$21&amp;" is more than IPD Sexual Violence Rape Survivors"&amp;CHAR(10),""),IF(T251&gt;T250," * IPD Sexual Violence Initiated Pep "&amp;$T$20&amp;" "&amp;$T$21&amp;" is more than IPD Sexual Violence Rape Survivors"&amp;CHAR(10),""),IF(U251&gt;U250," * IPD Sexual Violence Initiated Pep "&amp;$T$20&amp;" "&amp;$U$21&amp;" is more than IPD Sexual Violence Rape Survivors"&amp;CHAR(10),""),IF(V251&gt;V250," * IPD Sexual Violence Initiated Pep "&amp;$V$20&amp;" "&amp;$V$21&amp;" is more than IPD Sexual Violence Rape Survivors"&amp;CHAR(10),""),IF(W251&gt;W250," * IPD Sexual Violence Initiated Pep "&amp;$V$20&amp;" "&amp;$W$21&amp;" is more than IPD Sexual Violence Rape Survivors"&amp;CHAR(10),""),IF(X251&gt;X250," * IPD Sexual Violence Initiated Pep "&amp;$X$20&amp;" "&amp;$X$21&amp;" is more than IPD Sexual Violence Rape Survivors"&amp;CHAR(10),""),IF(Y251&gt;Y250," * IPD Sexual Violence Initiated Pep "&amp;$X$20&amp;" "&amp;$Y$21&amp;" is more than IPD Sexual Violence Rape Survivors"&amp;CHAR(10),""),IF(Z251&gt;Z250," * IPD Sexual Violence Initiated Pep "&amp;$Z$20&amp;" "&amp;$Z$21&amp;" is more than IPD Sexual Violence Rape Survivors"&amp;CHAR(10),""),IF(AA251&gt;AA250," * IPD Sexual Violence Initiated Pep "&amp;$Z$20&amp;" "&amp;$AA$21&amp;" is more than IPD Sexual Violence Rape Survivors"&amp;CHAR(10),""))</f>
        <v/>
      </c>
      <c r="AL250" s="1122"/>
      <c r="AM250" s="31"/>
      <c r="AN250" s="1130"/>
      <c r="AO250" s="13">
        <v>154</v>
      </c>
      <c r="AP250" s="74"/>
      <c r="AQ250" s="75"/>
    </row>
    <row r="251" spans="1:43" ht="27" hidden="1" thickBot="1" x14ac:dyDescent="0.45">
      <c r="A251" s="1157"/>
      <c r="B251" s="169" t="s">
        <v>812</v>
      </c>
      <c r="C251" s="555" t="s">
        <v>831</v>
      </c>
      <c r="D251" s="175"/>
      <c r="E251" s="175"/>
      <c r="F251" s="175"/>
      <c r="G251" s="175"/>
      <c r="H251" s="175"/>
      <c r="I251" s="175"/>
      <c r="J251" s="175"/>
      <c r="K251" s="175"/>
      <c r="L251" s="175"/>
      <c r="M251" s="175"/>
      <c r="N251" s="175"/>
      <c r="O251" s="175"/>
      <c r="P251" s="175"/>
      <c r="Q251" s="175"/>
      <c r="R251" s="175"/>
      <c r="S251" s="175"/>
      <c r="T251" s="175"/>
      <c r="U251" s="175"/>
      <c r="V251" s="175"/>
      <c r="W251" s="175"/>
      <c r="X251" s="175"/>
      <c r="Y251" s="175"/>
      <c r="Z251" s="175"/>
      <c r="AA251" s="175"/>
      <c r="AB251" s="333"/>
      <c r="AC251" s="333"/>
      <c r="AD251" s="333"/>
      <c r="AE251" s="333"/>
      <c r="AF251" s="333"/>
      <c r="AG251" s="333"/>
      <c r="AH251" s="333"/>
      <c r="AI251" s="333"/>
      <c r="AJ251" s="66">
        <f t="shared" si="63"/>
        <v>0</v>
      </c>
      <c r="AK251" s="130"/>
      <c r="AL251" s="1122"/>
      <c r="AM251" s="31"/>
      <c r="AN251" s="1130"/>
      <c r="AO251" s="13">
        <v>155</v>
      </c>
      <c r="AP251" s="74"/>
      <c r="AQ251" s="75"/>
    </row>
    <row r="252" spans="1:43" ht="27" hidden="1" thickBot="1" x14ac:dyDescent="0.45">
      <c r="A252" s="1157"/>
      <c r="B252" s="169" t="s">
        <v>813</v>
      </c>
      <c r="C252" s="555" t="s">
        <v>832</v>
      </c>
      <c r="D252" s="174"/>
      <c r="E252" s="174"/>
      <c r="F252" s="174"/>
      <c r="G252" s="174"/>
      <c r="H252" s="174"/>
      <c r="I252" s="174"/>
      <c r="J252" s="174"/>
      <c r="K252" s="174"/>
      <c r="L252" s="174"/>
      <c r="M252" s="174"/>
      <c r="N252" s="174"/>
      <c r="O252" s="174"/>
      <c r="P252" s="174"/>
      <c r="Q252" s="174"/>
      <c r="R252" s="174"/>
      <c r="S252" s="174"/>
      <c r="T252" s="174"/>
      <c r="U252" s="174"/>
      <c r="V252" s="174"/>
      <c r="W252" s="174"/>
      <c r="X252" s="174"/>
      <c r="Y252" s="174"/>
      <c r="Z252" s="174"/>
      <c r="AA252" s="174"/>
      <c r="AB252" s="333"/>
      <c r="AC252" s="333"/>
      <c r="AD252" s="333"/>
      <c r="AE252" s="333"/>
      <c r="AF252" s="333"/>
      <c r="AG252" s="333"/>
      <c r="AH252" s="333"/>
      <c r="AI252" s="333"/>
      <c r="AJ252" s="66">
        <f t="shared" si="63"/>
        <v>0</v>
      </c>
      <c r="AK252" s="30" t="str">
        <f>CONCATENATE(IF(D253&gt;D252," * IPD  Physical Violence Initiated Pep "&amp;$D$20&amp;" "&amp;$D$21&amp;" is more than IPD Physical Violence Rape Survivors"&amp;CHAR(10),""),IF(E253&gt;E252," * IPD  Physical Violence Initiated Pep "&amp;$D$20&amp;" "&amp;$E$21&amp;" is more than IPD Physical Violence Rape Survivors"&amp;CHAR(10),""),IF(F253&gt;F252," * IPD  Physical Violence Initiated Pep "&amp;$F$20&amp;" "&amp;$F$21&amp;" is more than IPD Physical Violence Rape Survivors"&amp;CHAR(10),""),IF(G253&gt;G252," * IPD  Physical Violence Initiated Pep "&amp;$F$20&amp;" "&amp;$G$21&amp;" is more than IPD Physical Violence Rape Survivors"&amp;CHAR(10),""),IF(H253&gt;H252," * IPD  Physical Violence Initiated Pep "&amp;$H$20&amp;" "&amp;$H$21&amp;" is more than IPD Physical Violence Rape Survivors"&amp;CHAR(10),""),IF(I253&gt;I252," * IPD  Physical Violence Initiated Pep "&amp;$H$20&amp;" "&amp;$I$21&amp;" is more than IPD Physical Violence Rape Survivors"&amp;CHAR(10),""),IF(J253&gt;J252," * IPD  Physical Violence Initiated Pep "&amp;$J$20&amp;" "&amp;$J$21&amp;" is more than IPD Physical Violence Rape Survivors"&amp;CHAR(10),""),IF(K253&gt;K252," * IPD  Physical Violence Initiated Pep "&amp;$J$20&amp;" "&amp;$K$21&amp;" is more than IPD Physical Violence Rape Survivors"&amp;CHAR(10),""),IF(L253&gt;L252," * IPD  Physical Violence Initiated Pep "&amp;$L$20&amp;" "&amp;$L$21&amp;" is more than IPD Physical Violence Rape Survivors"&amp;CHAR(10),""),IF(M253&gt;M252," * IPD  Physical Violence Initiated Pep "&amp;$L$20&amp;" "&amp;$M$21&amp;" is more than IPD Physical Violence Rape Survivors"&amp;CHAR(10),""),IF(N253&gt;N252," * IPD  Physical Violence Initiated Pep "&amp;$N$20&amp;" "&amp;$N$21&amp;" is more than IPD Physical Violence Rape Survivors"&amp;CHAR(10),""),IF(O253&gt;O252," * IPD  Physical Violence Initiated Pep "&amp;$N$20&amp;" "&amp;$O$21&amp;" is more than IPD Physical Violence Rape Survivors"&amp;CHAR(10),""),IF(P253&gt;P252," * IPD  Physical Violence Initiated Pep "&amp;$P$20&amp;" "&amp;$P$21&amp;" is more than IPD Physical Violence Rape Survivors"&amp;CHAR(10),""),IF(Q253&gt;Q252," * IPD  Physical Violence Initiated Pep "&amp;$P$20&amp;" "&amp;$Q$21&amp;" is more than IPD Physical Violence Rape Survivors"&amp;CHAR(10),""),IF(R253&gt;R252," * IPD  Physical Violence Initiated Pep "&amp;$R$20&amp;" "&amp;$R$21&amp;" is more than IPD Physical Violence Rape Survivors"&amp;CHAR(10),""),IF(S253&gt;S252," * IPD  Physical Violence Initiated Pep "&amp;$R$20&amp;" "&amp;$S$21&amp;" is more than IPD Physical Violence Rape Survivors"&amp;CHAR(10),""),IF(T253&gt;T252," * IPD  Physical Violence Initiated Pep "&amp;$T$20&amp;" "&amp;$T$21&amp;" is more than IPD Physical Violence Rape Survivors"&amp;CHAR(10),""),IF(U253&gt;U252," * IPD  Physical Violence Initiated Pep "&amp;$T$20&amp;" "&amp;$U$21&amp;" is more than IPD Physical Violence Rape Survivors"&amp;CHAR(10),""),IF(V253&gt;V252," * IPD  Physical Violence Initiated Pep "&amp;$V$20&amp;" "&amp;$V$21&amp;" is more than IPD Physical Violence Rape Survivors"&amp;CHAR(10),""),IF(W253&gt;W252," * IPD  Physical Violence Initiated Pep "&amp;$V$20&amp;" "&amp;$W$21&amp;" is more than IPD Physical Violence Rape Survivors"&amp;CHAR(10),""),IF(X253&gt;X252," * IPD  Physical Violence Initiated Pep "&amp;$X$20&amp;" "&amp;$X$21&amp;" is more than IPD Physical Violence Rape Survivors"&amp;CHAR(10),""),IF(Y253&gt;Y252," * IPD  Physical Violence Initiated Pep "&amp;$X$20&amp;" "&amp;$Y$21&amp;" is more than IPD Physical Violence Rape Survivors"&amp;CHAR(10),""),IF(Z253&gt;Z252," * IPD  Physical Violence Initiated Pep "&amp;$Z$20&amp;" "&amp;$Z$21&amp;" is more than IPD Physical Violence Rape Survivors"&amp;CHAR(10),""),IF(AA253&gt;AA252," * IPD  Physical Violence Initiated Pep "&amp;$Z$20&amp;" "&amp;$AA$21&amp;" is more than IPD Physical Violence Rape Survivors"&amp;CHAR(10),""))</f>
        <v/>
      </c>
      <c r="AL252" s="1122"/>
      <c r="AM252" s="31"/>
      <c r="AN252" s="1130"/>
      <c r="AO252" s="13">
        <v>156</v>
      </c>
      <c r="AP252" s="74"/>
      <c r="AQ252" s="75"/>
    </row>
    <row r="253" spans="1:43" ht="27" hidden="1" thickBot="1" x14ac:dyDescent="0.45">
      <c r="A253" s="1157"/>
      <c r="B253" s="169" t="s">
        <v>814</v>
      </c>
      <c r="C253" s="555" t="s">
        <v>833</v>
      </c>
      <c r="D253" s="175"/>
      <c r="E253" s="175"/>
      <c r="F253" s="175"/>
      <c r="G253" s="175"/>
      <c r="H253" s="175"/>
      <c r="I253" s="175"/>
      <c r="J253" s="175"/>
      <c r="K253" s="175"/>
      <c r="L253" s="175"/>
      <c r="M253" s="175"/>
      <c r="N253" s="175"/>
      <c r="O253" s="175"/>
      <c r="P253" s="175"/>
      <c r="Q253" s="175"/>
      <c r="R253" s="175"/>
      <c r="S253" s="175"/>
      <c r="T253" s="175"/>
      <c r="U253" s="175"/>
      <c r="V253" s="175"/>
      <c r="W253" s="175"/>
      <c r="X253" s="175"/>
      <c r="Y253" s="175"/>
      <c r="Z253" s="175"/>
      <c r="AA253" s="175"/>
      <c r="AB253" s="333"/>
      <c r="AC253" s="333"/>
      <c r="AD253" s="333"/>
      <c r="AE253" s="333"/>
      <c r="AF253" s="333"/>
      <c r="AG253" s="333"/>
      <c r="AH253" s="333"/>
      <c r="AI253" s="333"/>
      <c r="AJ253" s="66">
        <f t="shared" si="63"/>
        <v>0</v>
      </c>
      <c r="AK253" s="130"/>
      <c r="AL253" s="1122"/>
      <c r="AM253" s="31"/>
      <c r="AN253" s="1130"/>
      <c r="AO253" s="13">
        <v>157</v>
      </c>
      <c r="AP253" s="74"/>
      <c r="AQ253" s="75"/>
    </row>
    <row r="254" spans="1:43" ht="27" hidden="1" thickBot="1" x14ac:dyDescent="0.45">
      <c r="A254" s="1157"/>
      <c r="B254" s="169" t="s">
        <v>815</v>
      </c>
      <c r="C254" s="555" t="s">
        <v>834</v>
      </c>
      <c r="D254" s="176"/>
      <c r="E254" s="175"/>
      <c r="F254" s="175"/>
      <c r="G254" s="175"/>
      <c r="H254" s="175"/>
      <c r="I254" s="175"/>
      <c r="J254" s="175"/>
      <c r="K254" s="175"/>
      <c r="L254" s="175"/>
      <c r="M254" s="175"/>
      <c r="N254" s="175"/>
      <c r="O254" s="175"/>
      <c r="P254" s="175"/>
      <c r="Q254" s="175"/>
      <c r="R254" s="175"/>
      <c r="S254" s="175"/>
      <c r="T254" s="175"/>
      <c r="U254" s="175"/>
      <c r="V254" s="175"/>
      <c r="W254" s="175"/>
      <c r="X254" s="175"/>
      <c r="Y254" s="175"/>
      <c r="Z254" s="175"/>
      <c r="AA254" s="177"/>
      <c r="AB254" s="333"/>
      <c r="AC254" s="333"/>
      <c r="AD254" s="333"/>
      <c r="AE254" s="333"/>
      <c r="AF254" s="333"/>
      <c r="AG254" s="333"/>
      <c r="AH254" s="333"/>
      <c r="AI254" s="333"/>
      <c r="AJ254" s="52">
        <f t="shared" si="63"/>
        <v>0</v>
      </c>
      <c r="AK254" s="130"/>
      <c r="AL254" s="1122"/>
      <c r="AM254" s="31"/>
      <c r="AN254" s="1130"/>
      <c r="AO254" s="13">
        <v>158</v>
      </c>
      <c r="AP254" s="74"/>
      <c r="AQ254" s="75"/>
    </row>
    <row r="255" spans="1:43" ht="27" hidden="1" thickBot="1" x14ac:dyDescent="0.45">
      <c r="A255" s="1158"/>
      <c r="B255" s="178" t="s">
        <v>850</v>
      </c>
      <c r="C255" s="556" t="s">
        <v>835</v>
      </c>
      <c r="D255" s="179"/>
      <c r="E255" s="180"/>
      <c r="F255" s="180"/>
      <c r="G255" s="180"/>
      <c r="H255" s="180"/>
      <c r="I255" s="180"/>
      <c r="J255" s="180"/>
      <c r="K255" s="180"/>
      <c r="L255" s="180"/>
      <c r="M255" s="180"/>
      <c r="N255" s="180"/>
      <c r="O255" s="180"/>
      <c r="P255" s="180"/>
      <c r="Q255" s="180"/>
      <c r="R255" s="180"/>
      <c r="S255" s="180"/>
      <c r="T255" s="180"/>
      <c r="U255" s="180"/>
      <c r="V255" s="180"/>
      <c r="W255" s="180"/>
      <c r="X255" s="180"/>
      <c r="Y255" s="180"/>
      <c r="Z255" s="180"/>
      <c r="AA255" s="181"/>
      <c r="AB255" s="333"/>
      <c r="AC255" s="333"/>
      <c r="AD255" s="333"/>
      <c r="AE255" s="333"/>
      <c r="AF255" s="333"/>
      <c r="AG255" s="333"/>
      <c r="AH255" s="333"/>
      <c r="AI255" s="333"/>
      <c r="AJ255" s="52">
        <f t="shared" si="63"/>
        <v>0</v>
      </c>
      <c r="AK255" s="130"/>
      <c r="AL255" s="1146"/>
      <c r="AM255" s="73"/>
      <c r="AN255" s="1130"/>
      <c r="AO255" s="13">
        <v>159</v>
      </c>
      <c r="AP255" s="74"/>
      <c r="AQ255" s="75"/>
    </row>
    <row r="256" spans="1:43" ht="27" hidden="1" thickBot="1" x14ac:dyDescent="0.45">
      <c r="A256" s="1156" t="s">
        <v>819</v>
      </c>
      <c r="B256" s="167" t="s">
        <v>862</v>
      </c>
      <c r="C256" s="557" t="s">
        <v>836</v>
      </c>
      <c r="D256" s="182"/>
      <c r="E256" s="182"/>
      <c r="F256" s="182"/>
      <c r="G256" s="182"/>
      <c r="H256" s="182"/>
      <c r="I256" s="182"/>
      <c r="J256" s="182"/>
      <c r="K256" s="182"/>
      <c r="L256" s="182"/>
      <c r="M256" s="182"/>
      <c r="N256" s="182"/>
      <c r="O256" s="182"/>
      <c r="P256" s="182"/>
      <c r="Q256" s="182"/>
      <c r="R256" s="182"/>
      <c r="S256" s="182"/>
      <c r="T256" s="182"/>
      <c r="U256" s="182"/>
      <c r="V256" s="182"/>
      <c r="W256" s="182"/>
      <c r="X256" s="182"/>
      <c r="Y256" s="182"/>
      <c r="Z256" s="182"/>
      <c r="AA256" s="182"/>
      <c r="AB256" s="334"/>
      <c r="AC256" s="334"/>
      <c r="AD256" s="334"/>
      <c r="AE256" s="334"/>
      <c r="AF256" s="334"/>
      <c r="AG256" s="334"/>
      <c r="AH256" s="334"/>
      <c r="AI256" s="334"/>
      <c r="AJ256" s="52">
        <f t="shared" si="63"/>
        <v>0</v>
      </c>
      <c r="AK256" s="30" t="str">
        <f>CONCATENATE(IF(D257&gt;D256," * No Screened for GBV "&amp;$D$20&amp;" "&amp;$D$21&amp;" is more than Clients Seen at CCC"&amp;CHAR(10),""),IF(E257&gt;E256," * No Screened For GBV "&amp;$D$20&amp;" "&amp;$E$21&amp;" is more than Clients Seen at CCC"&amp;CHAR(10),""),IF(F257&gt;F256," * No Screened For GBV "&amp;$F$20&amp;" "&amp;$F$21&amp;" is more than Clients Seen at CCC"&amp;CHAR(10),""),IF(G257&gt;G256," * No Screened For GBV "&amp;$F$20&amp;" "&amp;$G$21&amp;" is more than Clients Seen at CCC"&amp;CHAR(10),""),IF(H257&gt;H256," * No Screened For GBV "&amp;$H$20&amp;" "&amp;$H$21&amp;" is more than Clients Seen at CCC"&amp;CHAR(10),""),IF(I257&gt;I256," * No Screened For GBV "&amp;$H$20&amp;" "&amp;$I$21&amp;" is more than Clients Seen at CCC"&amp;CHAR(10),""),IF(J257&gt;J256," * No Screened For GBV "&amp;$J$20&amp;" "&amp;$J$21&amp;" is more than Clients Seen at CCC"&amp;CHAR(10),""),IF(K257&gt;K256," * No Screened For GBV "&amp;$J$20&amp;" "&amp;$K$21&amp;" is more than Clients Seen at CCC"&amp;CHAR(10),""),IF(L257&gt;L256," * No Screened For GBV "&amp;$L$20&amp;" "&amp;$L$21&amp;" is more than Clients Seen at CCC"&amp;CHAR(10),""),IF(M257&gt;M256," * No Screened For GBV "&amp;$L$20&amp;" "&amp;$M$21&amp;" is more than Clients Seen at CCC"&amp;CHAR(10),""),IF(N257&gt;N256," * No Screened For GBV "&amp;$N$20&amp;" "&amp;$N$21&amp;" is more than Clients Seen at CCC"&amp;CHAR(10),""),IF(O257&gt;O256," * No Screened For GBV "&amp;$N$20&amp;" "&amp;$O$21&amp;" is more than Clients Seen at CCC"&amp;CHAR(10),""),IF(P257&gt;P256," * No Screened For GBV "&amp;$P$20&amp;" "&amp;$P$21&amp;" is more than Clients Seen at CCC"&amp;CHAR(10),""),IF(Q257&gt;Q256," * No Screened For GBV "&amp;$P$20&amp;" "&amp;$Q$21&amp;" is more than Clients Seen at CCC"&amp;CHAR(10),""),IF(R257&gt;R256," * No Screened For GBV "&amp;$R$20&amp;" "&amp;$R$21&amp;" is more than Clients Seen at CCC"&amp;CHAR(10),""),IF(S257&gt;S256," * No Screened For GBV "&amp;$R$20&amp;" "&amp;$S$21&amp;" is more than Clients Seen at CCC"&amp;CHAR(10),""),IF(T257&gt;T256," * No Screened For GBV "&amp;$T$20&amp;" "&amp;$T$21&amp;" is more than Clients Seen at CCC"&amp;CHAR(10),""),IF(U257&gt;U256," * No Screened For GBV "&amp;$T$20&amp;" "&amp;$U$21&amp;" is more than Clients Seen at CCC"&amp;CHAR(10),""),IF(V257&gt;V256," * No Screened For GBV "&amp;$V$20&amp;" "&amp;$V$21&amp;" is more than Clients Seen at CCC"&amp;CHAR(10),""),IF(W257&gt;W256," * No Screened For GBV "&amp;$V$20&amp;" "&amp;$W$21&amp;" is more than Clients Seen at CCC"&amp;CHAR(10),""),IF(X257&gt;X256," * No Screened For GBV "&amp;$X$20&amp;" "&amp;$X$21&amp;" is more than Clients Seen at CCC"&amp;CHAR(10),""),IF(Y257&gt;Y256," * No Screened For GBV "&amp;$X$20&amp;" "&amp;$Y$21&amp;" is more than Clients Seen at CCC"&amp;CHAR(10),""),IF(Z257&gt;Z256," * No Screened For GBV "&amp;$Z$20&amp;" "&amp;$Z$21&amp;" is more than Clients Seen at CCC"&amp;CHAR(10),""),IF(AA257&gt;AA256," * No Screened For GBV "&amp;$Z$20&amp;" "&amp;$AA$21&amp;" is more than Clients Seen at CCC"&amp;CHAR(10),""))</f>
        <v/>
      </c>
      <c r="AL256" s="1121" t="str">
        <f>CONCATENATE(AK256,AK257,AK258,AK259,AK260,AK261,AK262,AK263,AK264)</f>
        <v/>
      </c>
      <c r="AM256" s="73"/>
      <c r="AN256" s="1130"/>
      <c r="AO256" s="13">
        <v>160</v>
      </c>
      <c r="AP256" s="74"/>
      <c r="AQ256" s="75"/>
    </row>
    <row r="257" spans="1:43" ht="27" hidden="1" thickBot="1" x14ac:dyDescent="0.45">
      <c r="A257" s="1157"/>
      <c r="B257" s="169" t="s">
        <v>857</v>
      </c>
      <c r="C257" s="555" t="s">
        <v>837</v>
      </c>
      <c r="D257" s="170"/>
      <c r="E257" s="170"/>
      <c r="F257" s="170"/>
      <c r="G257" s="170"/>
      <c r="H257" s="170"/>
      <c r="I257" s="170"/>
      <c r="J257" s="170"/>
      <c r="K257" s="170"/>
      <c r="L257" s="170"/>
      <c r="M257" s="170"/>
      <c r="N257" s="170"/>
      <c r="O257" s="170"/>
      <c r="P257" s="170"/>
      <c r="Q257" s="170"/>
      <c r="R257" s="170"/>
      <c r="S257" s="170"/>
      <c r="T257" s="170"/>
      <c r="U257" s="170"/>
      <c r="V257" s="170"/>
      <c r="W257" s="170"/>
      <c r="X257" s="170"/>
      <c r="Y257" s="170"/>
      <c r="Z257" s="170"/>
      <c r="AA257" s="170"/>
      <c r="AB257" s="333"/>
      <c r="AC257" s="333"/>
      <c r="AD257" s="333"/>
      <c r="AE257" s="333"/>
      <c r="AF257" s="333"/>
      <c r="AG257" s="333"/>
      <c r="AH257" s="333"/>
      <c r="AI257" s="333"/>
      <c r="AJ257" s="52">
        <f t="shared" si="63"/>
        <v>0</v>
      </c>
      <c r="AK257" s="130"/>
      <c r="AL257" s="1122"/>
      <c r="AM257" s="31"/>
      <c r="AN257" s="1130"/>
      <c r="AO257" s="13">
        <v>161</v>
      </c>
      <c r="AP257" s="74"/>
      <c r="AQ257" s="75"/>
    </row>
    <row r="258" spans="1:43" ht="27" hidden="1" thickBot="1" x14ac:dyDescent="0.45">
      <c r="A258" s="1157"/>
      <c r="B258" s="171" t="s">
        <v>865</v>
      </c>
      <c r="C258" s="555" t="s">
        <v>838</v>
      </c>
      <c r="D258" s="172">
        <f>D259+D261+D263+D264</f>
        <v>0</v>
      </c>
      <c r="E258" s="172">
        <f t="shared" ref="E258" si="87">E259+E261+E263+E264</f>
        <v>0</v>
      </c>
      <c r="F258" s="172">
        <f t="shared" ref="F258" si="88">F259+F261+F263+F264</f>
        <v>0</v>
      </c>
      <c r="G258" s="172">
        <f t="shared" ref="G258" si="89">G259+G261+G263+G264</f>
        <v>0</v>
      </c>
      <c r="H258" s="172">
        <f t="shared" ref="H258" si="90">H259+H261+H263+H264</f>
        <v>0</v>
      </c>
      <c r="I258" s="172">
        <f t="shared" ref="I258" si="91">I259+I261+I263+I264</f>
        <v>0</v>
      </c>
      <c r="J258" s="172">
        <f t="shared" ref="J258" si="92">J259+J261+J263+J264</f>
        <v>0</v>
      </c>
      <c r="K258" s="172">
        <f t="shared" ref="K258" si="93">K259+K261+K263+K264</f>
        <v>0</v>
      </c>
      <c r="L258" s="172">
        <f t="shared" ref="L258" si="94">L259+L261+L263+L264</f>
        <v>0</v>
      </c>
      <c r="M258" s="172">
        <f t="shared" ref="M258" si="95">M259+M261+M263+M264</f>
        <v>0</v>
      </c>
      <c r="N258" s="172">
        <f t="shared" ref="N258" si="96">N259+N261+N263+N264</f>
        <v>0</v>
      </c>
      <c r="O258" s="172">
        <f t="shared" ref="O258" si="97">O259+O261+O263+O264</f>
        <v>0</v>
      </c>
      <c r="P258" s="172">
        <f t="shared" ref="P258" si="98">P259+P261+P263+P264</f>
        <v>0</v>
      </c>
      <c r="Q258" s="172">
        <f t="shared" ref="Q258" si="99">Q259+Q261+Q263+Q264</f>
        <v>0</v>
      </c>
      <c r="R258" s="172">
        <f t="shared" ref="R258" si="100">R259+R261+R263+R264</f>
        <v>0</v>
      </c>
      <c r="S258" s="172">
        <f t="shared" ref="S258" si="101">S259+S261+S263+S264</f>
        <v>0</v>
      </c>
      <c r="T258" s="172">
        <f t="shared" ref="T258" si="102">T259+T261+T263+T264</f>
        <v>0</v>
      </c>
      <c r="U258" s="172">
        <f t="shared" ref="U258" si="103">U259+U261+U263+U264</f>
        <v>0</v>
      </c>
      <c r="V258" s="172">
        <f t="shared" ref="V258" si="104">V259+V261+V263+V264</f>
        <v>0</v>
      </c>
      <c r="W258" s="172">
        <f t="shared" ref="W258" si="105">W259+W261+W263+W264</f>
        <v>0</v>
      </c>
      <c r="X258" s="172">
        <f t="shared" ref="X258" si="106">X259+X261+X263+X264</f>
        <v>0</v>
      </c>
      <c r="Y258" s="172">
        <f t="shared" ref="Y258" si="107">Y259+Y261+Y263+Y264</f>
        <v>0</v>
      </c>
      <c r="Z258" s="172">
        <f t="shared" ref="Z258" si="108">Z259+Z261+Z263+Z264</f>
        <v>0</v>
      </c>
      <c r="AA258" s="172">
        <f t="shared" ref="AA258" si="109">AA259+AA261+AA263+AA264</f>
        <v>0</v>
      </c>
      <c r="AB258" s="332"/>
      <c r="AC258" s="332"/>
      <c r="AD258" s="332"/>
      <c r="AE258" s="332"/>
      <c r="AF258" s="332"/>
      <c r="AG258" s="332"/>
      <c r="AH258" s="332"/>
      <c r="AI258" s="332"/>
      <c r="AJ258" s="52">
        <f t="shared" si="63"/>
        <v>0</v>
      </c>
      <c r="AK258" s="130"/>
      <c r="AL258" s="1122"/>
      <c r="AM258" s="31"/>
      <c r="AN258" s="1130"/>
      <c r="AO258" s="13">
        <v>162</v>
      </c>
      <c r="AP258" s="74"/>
      <c r="AQ258" s="75"/>
    </row>
    <row r="259" spans="1:43" ht="27" hidden="1" thickBot="1" x14ac:dyDescent="0.45">
      <c r="A259" s="1157"/>
      <c r="B259" s="169" t="s">
        <v>811</v>
      </c>
      <c r="C259" s="555" t="s">
        <v>839</v>
      </c>
      <c r="D259" s="174"/>
      <c r="E259" s="174"/>
      <c r="F259" s="174"/>
      <c r="G259" s="174"/>
      <c r="H259" s="174"/>
      <c r="I259" s="174"/>
      <c r="J259" s="174"/>
      <c r="K259" s="174"/>
      <c r="L259" s="174"/>
      <c r="M259" s="174"/>
      <c r="N259" s="174"/>
      <c r="O259" s="174"/>
      <c r="P259" s="174"/>
      <c r="Q259" s="174"/>
      <c r="R259" s="174"/>
      <c r="S259" s="174"/>
      <c r="T259" s="174"/>
      <c r="U259" s="174"/>
      <c r="V259" s="174"/>
      <c r="W259" s="174"/>
      <c r="X259" s="174"/>
      <c r="Y259" s="174"/>
      <c r="Z259" s="174"/>
      <c r="AA259" s="174"/>
      <c r="AB259" s="333"/>
      <c r="AC259" s="333"/>
      <c r="AD259" s="333"/>
      <c r="AE259" s="333"/>
      <c r="AF259" s="333"/>
      <c r="AG259" s="333"/>
      <c r="AH259" s="333"/>
      <c r="AI259" s="333"/>
      <c r="AJ259" s="52">
        <f t="shared" si="63"/>
        <v>0</v>
      </c>
      <c r="AK259" s="30" t="str">
        <f>CONCATENATE(IF(D260&gt;D259," * CCC Sexual Violence Initiated Pep "&amp;$D$20&amp;" "&amp;$D$21&amp;" is more than CCC Sexual Violence Rape Survivors"&amp;CHAR(10),""),IF(E260&gt;E259," * CCC Sexual Violence Initiated Pep "&amp;$D$20&amp;" "&amp;$E$21&amp;" is more than CCC Sexual Violence Rape Survivors"&amp;CHAR(10),""),IF(F260&gt;F259," * CCC Sexual Violence Initiated Pep "&amp;$F$20&amp;" "&amp;$F$21&amp;" is more than CCC Sexual Violence Rape Survivors"&amp;CHAR(10),""),IF(G260&gt;G259," * CCC Sexual Violence Initiated Pep "&amp;$F$20&amp;" "&amp;$G$21&amp;" is more than CCC Sexual Violence Rape Survivors"&amp;CHAR(10),""),IF(H260&gt;H259," * CCC Sexual Violence Initiated Pep "&amp;$H$20&amp;" "&amp;$H$21&amp;" is more than CCC Sexual Violence Rape Survivors"&amp;CHAR(10),""),IF(I260&gt;I259," * CCC Sexual Violence Initiated Pep "&amp;$H$20&amp;" "&amp;$I$21&amp;" is more than CCC Sexual Violence Rape Survivors"&amp;CHAR(10),""),IF(J260&gt;J259," * CCC Sexual Violence Initiated Pep "&amp;$J$20&amp;" "&amp;$J$21&amp;" is more than CCC Sexual Violence Rape Survivors"&amp;CHAR(10),""),IF(K260&gt;K259," * CCC Sexual Violence Initiated Pep "&amp;$J$20&amp;" "&amp;$K$21&amp;" is more than CCC Sexual Violence Rape Survivors"&amp;CHAR(10),""),IF(L260&gt;L259," * CCC Sexual Violence Initiated Pep "&amp;$L$20&amp;" "&amp;$L$21&amp;" is more than CCC Sexual Violence Rape Survivors"&amp;CHAR(10),""),IF(M260&gt;M259," * CCC Sexual Violence Initiated Pep "&amp;$L$20&amp;" "&amp;$M$21&amp;" is more than CCC Sexual Violence Rape Survivors"&amp;CHAR(10),""),IF(N260&gt;N259," * CCC Sexual Violence Initiated Pep "&amp;$N$20&amp;" "&amp;$N$21&amp;" is more than CCC Sexual Violence Rape Survivors"&amp;CHAR(10),""),IF(O260&gt;O259," * CCC Sexual Violence Initiated Pep "&amp;$N$20&amp;" "&amp;$O$21&amp;" is more than CCC Sexual Violence Rape Survivors"&amp;CHAR(10),""),IF(P260&gt;P259," * CCC Sexual Violence Initiated Pep "&amp;$P$20&amp;" "&amp;$P$21&amp;" is more than CCC Sexual Violence Rape Survivors"&amp;CHAR(10),""),IF(Q260&gt;Q259," * CCC Sexual Violence Initiated Pep "&amp;$P$20&amp;" "&amp;$Q$21&amp;" is more than CCC Sexual Violence Rape Survivors"&amp;CHAR(10),""),IF(R260&gt;R259," * CCC Sexual Violence Initiated Pep "&amp;$R$20&amp;" "&amp;$R$21&amp;" is more than CCC Sexual Violence Rape Survivors"&amp;CHAR(10),""),IF(S260&gt;S259," * CCC Sexual Violence Initiated Pep "&amp;$R$20&amp;" "&amp;$S$21&amp;" is more than CCC Sexual Violence Rape Survivors"&amp;CHAR(10),""),IF(T260&gt;T259," * CCC Sexual Violence Initiated Pep "&amp;$T$20&amp;" "&amp;$T$21&amp;" is more than CCC Sexual Violence Rape Survivors"&amp;CHAR(10),""),IF(U260&gt;U259," * CCC Sexual Violence Initiated Pep "&amp;$T$20&amp;" "&amp;$U$21&amp;" is more than CCC Sexual Violence Rape Survivors"&amp;CHAR(10),""),IF(V260&gt;V259," * CCC Sexual Violence Initiated Pep "&amp;$V$20&amp;" "&amp;$V$21&amp;" is more than CCC Sexual Violence Rape Survivors"&amp;CHAR(10),""),IF(W260&gt;W259," * CCC Sexual Violence Initiated Pep "&amp;$V$20&amp;" "&amp;$W$21&amp;" is more than CCC Sexual Violence Rape Survivors"&amp;CHAR(10),""),IF(X260&gt;X259," * CCC Sexual Violence Initiated Pep "&amp;$X$20&amp;" "&amp;$X$21&amp;" is more than CCC Sexual Violence Rape Survivors"&amp;CHAR(10),""),IF(Y260&gt;Y259," * CCC Sexual Violence Initiated Pep "&amp;$X$20&amp;" "&amp;$Y$21&amp;" is more than CCC Sexual Violence Rape Survivors"&amp;CHAR(10),""),IF(Z260&gt;Z259," * CCC Sexual Violence Initiated Pep "&amp;$Z$20&amp;" "&amp;$Z$21&amp;" is more than CCC Sexual Violence Rape Survivors"&amp;CHAR(10),""),IF(AA260&gt;AA259," * CCC Sexual Violence Initiated Pep "&amp;$Z$20&amp;" "&amp;$AA$21&amp;" is more than CCC Sexual Violence Rape Survivors"&amp;CHAR(10),""))</f>
        <v/>
      </c>
      <c r="AL259" s="1122"/>
      <c r="AM259" s="31"/>
      <c r="AN259" s="1130"/>
      <c r="AO259" s="13">
        <v>163</v>
      </c>
      <c r="AP259" s="74"/>
      <c r="AQ259" s="75"/>
    </row>
    <row r="260" spans="1:43" ht="27" hidden="1" thickBot="1" x14ac:dyDescent="0.45">
      <c r="A260" s="1157"/>
      <c r="B260" s="169" t="s">
        <v>812</v>
      </c>
      <c r="C260" s="555" t="s">
        <v>840</v>
      </c>
      <c r="D260" s="175"/>
      <c r="E260" s="175"/>
      <c r="F260" s="175"/>
      <c r="G260" s="175"/>
      <c r="H260" s="175"/>
      <c r="I260" s="175"/>
      <c r="J260" s="175"/>
      <c r="K260" s="175"/>
      <c r="L260" s="175"/>
      <c r="M260" s="175"/>
      <c r="N260" s="175"/>
      <c r="O260" s="175"/>
      <c r="P260" s="175"/>
      <c r="Q260" s="175"/>
      <c r="R260" s="175"/>
      <c r="S260" s="175"/>
      <c r="T260" s="175"/>
      <c r="U260" s="175"/>
      <c r="V260" s="175"/>
      <c r="W260" s="175"/>
      <c r="X260" s="175"/>
      <c r="Y260" s="175"/>
      <c r="Z260" s="175"/>
      <c r="AA260" s="175"/>
      <c r="AB260" s="333"/>
      <c r="AC260" s="333"/>
      <c r="AD260" s="333"/>
      <c r="AE260" s="333"/>
      <c r="AF260" s="333"/>
      <c r="AG260" s="333"/>
      <c r="AH260" s="333"/>
      <c r="AI260" s="333"/>
      <c r="AJ260" s="52">
        <f t="shared" si="63"/>
        <v>0</v>
      </c>
      <c r="AK260" s="130"/>
      <c r="AL260" s="1122"/>
      <c r="AM260" s="31"/>
      <c r="AN260" s="1130"/>
      <c r="AO260" s="13">
        <v>164</v>
      </c>
      <c r="AP260" s="74"/>
      <c r="AQ260" s="75"/>
    </row>
    <row r="261" spans="1:43" ht="27" hidden="1" thickBot="1" x14ac:dyDescent="0.45">
      <c r="A261" s="1157"/>
      <c r="B261" s="169" t="s">
        <v>813</v>
      </c>
      <c r="C261" s="555" t="s">
        <v>841</v>
      </c>
      <c r="D261" s="174"/>
      <c r="E261" s="174"/>
      <c r="F261" s="174"/>
      <c r="G261" s="174"/>
      <c r="H261" s="174"/>
      <c r="I261" s="174"/>
      <c r="J261" s="174"/>
      <c r="K261" s="174"/>
      <c r="L261" s="174"/>
      <c r="M261" s="174"/>
      <c r="N261" s="174"/>
      <c r="O261" s="174"/>
      <c r="P261" s="174"/>
      <c r="Q261" s="174"/>
      <c r="R261" s="174"/>
      <c r="S261" s="174"/>
      <c r="T261" s="174"/>
      <c r="U261" s="174"/>
      <c r="V261" s="174"/>
      <c r="W261" s="174"/>
      <c r="X261" s="174"/>
      <c r="Y261" s="174"/>
      <c r="Z261" s="174"/>
      <c r="AA261" s="174"/>
      <c r="AB261" s="333"/>
      <c r="AC261" s="333"/>
      <c r="AD261" s="333"/>
      <c r="AE261" s="333"/>
      <c r="AF261" s="333"/>
      <c r="AG261" s="333"/>
      <c r="AH261" s="333"/>
      <c r="AI261" s="333"/>
      <c r="AJ261" s="52">
        <f t="shared" si="63"/>
        <v>0</v>
      </c>
      <c r="AK261" s="30" t="str">
        <f>CONCATENATE(IF(D262&gt;D261," * CCC  Physical Violence Initiated Pep "&amp;$D$20&amp;" "&amp;$D$21&amp;" is more than CCC Physical Violence Rape Survivors"&amp;CHAR(10),""),IF(E262&gt;E261," * CCC  Physical Violence Initiated Pep "&amp;$D$20&amp;" "&amp;$E$21&amp;" is more than CCC Physical Violence Rape Survivors"&amp;CHAR(10),""),IF(F262&gt;F261," * CCC  Physical Violence Initiated Pep "&amp;$F$20&amp;" "&amp;$F$21&amp;" is more than CCC Physical Violence Rape Survivors"&amp;CHAR(10),""),IF(G262&gt;G261," * CCC  Physical Violence Initiated Pep "&amp;$F$20&amp;" "&amp;$G$21&amp;" is more than CCC Physical Violence Rape Survivors"&amp;CHAR(10),""),IF(H262&gt;H261," * CCC  Physical Violence Initiated Pep "&amp;$H$20&amp;" "&amp;$H$21&amp;" is more than CCC Physical Violence Rape Survivors"&amp;CHAR(10),""),IF(I262&gt;I261," * CCC  Physical Violence Initiated Pep "&amp;$H$20&amp;" "&amp;$I$21&amp;" is more than CCC Physical Violence Rape Survivors"&amp;CHAR(10),""),IF(J262&gt;J261," * CCC  Physical Violence Initiated Pep "&amp;$J$20&amp;" "&amp;$J$21&amp;" is more than CCC Physical Violence Rape Survivors"&amp;CHAR(10),""),IF(K262&gt;K261," * CCC  Physical Violence Initiated Pep "&amp;$J$20&amp;" "&amp;$K$21&amp;" is more than CCC Physical Violence Rape Survivors"&amp;CHAR(10),""),IF(L262&gt;L261," * CCC  Physical Violence Initiated Pep "&amp;$L$20&amp;" "&amp;$L$21&amp;" is more than CCC Physical Violence Rape Survivors"&amp;CHAR(10),""),IF(M262&gt;M261," * CCC  Physical Violence Initiated Pep "&amp;$L$20&amp;" "&amp;$M$21&amp;" is more than CCC Physical Violence Rape Survivors"&amp;CHAR(10),""),IF(N262&gt;N261," * CCC  Physical Violence Initiated Pep "&amp;$N$20&amp;" "&amp;$N$21&amp;" is more than CCC Physical Violence Rape Survivors"&amp;CHAR(10),""),IF(O262&gt;O261," * CCC  Physical Violence Initiated Pep "&amp;$N$20&amp;" "&amp;$O$21&amp;" is more than CCC Physical Violence Rape Survivors"&amp;CHAR(10),""),IF(P262&gt;P261," * CCC  Physical Violence Initiated Pep "&amp;$P$20&amp;" "&amp;$P$21&amp;" is more than CCC Physical Violence Rape Survivors"&amp;CHAR(10),""),IF(Q262&gt;Q261," * CCC  Physical Violence Initiated Pep "&amp;$P$20&amp;" "&amp;$Q$21&amp;" is more than CCC Physical Violence Rape Survivors"&amp;CHAR(10),""),IF(R262&gt;R261," * CCC  Physical Violence Initiated Pep "&amp;$R$20&amp;" "&amp;$R$21&amp;" is more than CCC Physical Violence Rape Survivors"&amp;CHAR(10),""),IF(S262&gt;S261," * CCC  Physical Violence Initiated Pep "&amp;$R$20&amp;" "&amp;$S$21&amp;" is more than CCC Physical Violence Rape Survivors"&amp;CHAR(10),""),IF(T262&gt;T261," * CCC  Physical Violence Initiated Pep "&amp;$T$20&amp;" "&amp;$T$21&amp;" is more than CCC Physical Violence Rape Survivors"&amp;CHAR(10),""),IF(U262&gt;U261," * CCC  Physical Violence Initiated Pep "&amp;$T$20&amp;" "&amp;$U$21&amp;" is more than CCC Physical Violence Rape Survivors"&amp;CHAR(10),""),IF(V262&gt;V261," * CCC  Physical Violence Initiated Pep "&amp;$V$20&amp;" "&amp;$V$21&amp;" is more than CCC Physical Violence Rape Survivors"&amp;CHAR(10),""),IF(W262&gt;W261," * CCC  Physical Violence Initiated Pep "&amp;$V$20&amp;" "&amp;$W$21&amp;" is more than CCC Physical Violence Rape Survivors"&amp;CHAR(10),""),IF(X262&gt;X261," * CCC  Physical Violence Initiated Pep "&amp;$X$20&amp;" "&amp;$X$21&amp;" is more than CCC Physical Violence Rape Survivors"&amp;CHAR(10),""),IF(Y262&gt;Y261," * CCC  Physical Violence Initiated Pep "&amp;$X$20&amp;" "&amp;$Y$21&amp;" is more than CCC Physical Violence Rape Survivors"&amp;CHAR(10),""),IF(Z262&gt;Z261," * CCC  Physical Violence Initiated Pep "&amp;$Z$20&amp;" "&amp;$Z$21&amp;" is more than CCC Physical Violence Rape Survivors"&amp;CHAR(10),""),IF(AA262&gt;AA261," * CCC  Physical Violence Initiated Pep "&amp;$Z$20&amp;" "&amp;$AA$21&amp;" is more than CCC Physical Violence Rape Survivors"&amp;CHAR(10),""))</f>
        <v/>
      </c>
      <c r="AL261" s="1122"/>
      <c r="AM261" s="31"/>
      <c r="AN261" s="1130"/>
      <c r="AO261" s="13">
        <v>165</v>
      </c>
      <c r="AP261" s="74"/>
      <c r="AQ261" s="75"/>
    </row>
    <row r="262" spans="1:43" ht="27" hidden="1" thickBot="1" x14ac:dyDescent="0.45">
      <c r="A262" s="1157"/>
      <c r="B262" s="169" t="s">
        <v>814</v>
      </c>
      <c r="C262" s="555" t="s">
        <v>842</v>
      </c>
      <c r="D262" s="175"/>
      <c r="E262" s="175"/>
      <c r="F262" s="175"/>
      <c r="G262" s="175"/>
      <c r="H262" s="175"/>
      <c r="I262" s="175"/>
      <c r="J262" s="175"/>
      <c r="K262" s="175"/>
      <c r="L262" s="175"/>
      <c r="M262" s="175"/>
      <c r="N262" s="175"/>
      <c r="O262" s="175"/>
      <c r="P262" s="175"/>
      <c r="Q262" s="175"/>
      <c r="R262" s="175"/>
      <c r="S262" s="175"/>
      <c r="T262" s="175"/>
      <c r="U262" s="175"/>
      <c r="V262" s="175"/>
      <c r="W262" s="175"/>
      <c r="X262" s="175"/>
      <c r="Y262" s="175"/>
      <c r="Z262" s="175"/>
      <c r="AA262" s="175"/>
      <c r="AB262" s="333"/>
      <c r="AC262" s="333"/>
      <c r="AD262" s="333"/>
      <c r="AE262" s="333"/>
      <c r="AF262" s="333"/>
      <c r="AG262" s="333"/>
      <c r="AH262" s="333"/>
      <c r="AI262" s="333"/>
      <c r="AJ262" s="52">
        <f t="shared" si="63"/>
        <v>0</v>
      </c>
      <c r="AK262" s="130"/>
      <c r="AL262" s="1122"/>
      <c r="AM262" s="31"/>
      <c r="AN262" s="1130"/>
      <c r="AO262" s="13">
        <v>166</v>
      </c>
      <c r="AP262" s="74"/>
      <c r="AQ262" s="75"/>
    </row>
    <row r="263" spans="1:43" ht="27" hidden="1" thickBot="1" x14ac:dyDescent="0.45">
      <c r="A263" s="1157"/>
      <c r="B263" s="169" t="s">
        <v>815</v>
      </c>
      <c r="C263" s="555" t="s">
        <v>843</v>
      </c>
      <c r="D263" s="176"/>
      <c r="E263" s="175"/>
      <c r="F263" s="175"/>
      <c r="G263" s="175"/>
      <c r="H263" s="175"/>
      <c r="I263" s="175"/>
      <c r="J263" s="175"/>
      <c r="K263" s="175"/>
      <c r="L263" s="175"/>
      <c r="M263" s="175"/>
      <c r="N263" s="175"/>
      <c r="O263" s="175"/>
      <c r="P263" s="175"/>
      <c r="Q263" s="175"/>
      <c r="R263" s="175"/>
      <c r="S263" s="175"/>
      <c r="T263" s="175"/>
      <c r="U263" s="175"/>
      <c r="V263" s="175"/>
      <c r="W263" s="175"/>
      <c r="X263" s="175"/>
      <c r="Y263" s="175"/>
      <c r="Z263" s="175"/>
      <c r="AA263" s="177"/>
      <c r="AB263" s="333"/>
      <c r="AC263" s="333"/>
      <c r="AD263" s="333"/>
      <c r="AE263" s="333"/>
      <c r="AF263" s="333"/>
      <c r="AG263" s="333"/>
      <c r="AH263" s="333"/>
      <c r="AI263" s="333"/>
      <c r="AJ263" s="52">
        <f t="shared" si="63"/>
        <v>0</v>
      </c>
      <c r="AK263" s="130"/>
      <c r="AL263" s="1122"/>
      <c r="AM263" s="31"/>
      <c r="AN263" s="1130"/>
      <c r="AO263" s="13">
        <v>167</v>
      </c>
      <c r="AP263" s="74"/>
      <c r="AQ263" s="75"/>
    </row>
    <row r="264" spans="1:43" ht="27" hidden="1" thickBot="1" x14ac:dyDescent="0.45">
      <c r="A264" s="1158"/>
      <c r="B264" s="178" t="s">
        <v>850</v>
      </c>
      <c r="C264" s="556" t="s">
        <v>844</v>
      </c>
      <c r="D264" s="179"/>
      <c r="E264" s="180"/>
      <c r="F264" s="180"/>
      <c r="G264" s="180"/>
      <c r="H264" s="180"/>
      <c r="I264" s="180"/>
      <c r="J264" s="180"/>
      <c r="K264" s="180"/>
      <c r="L264" s="180"/>
      <c r="M264" s="180"/>
      <c r="N264" s="180"/>
      <c r="O264" s="180"/>
      <c r="P264" s="180"/>
      <c r="Q264" s="180"/>
      <c r="R264" s="180"/>
      <c r="S264" s="180"/>
      <c r="T264" s="180"/>
      <c r="U264" s="180"/>
      <c r="V264" s="180"/>
      <c r="W264" s="180"/>
      <c r="X264" s="180"/>
      <c r="Y264" s="180"/>
      <c r="Z264" s="180"/>
      <c r="AA264" s="181"/>
      <c r="AB264" s="333"/>
      <c r="AC264" s="333"/>
      <c r="AD264" s="333"/>
      <c r="AE264" s="333"/>
      <c r="AF264" s="333"/>
      <c r="AG264" s="333"/>
      <c r="AH264" s="333"/>
      <c r="AI264" s="333"/>
      <c r="AJ264" s="52">
        <f t="shared" si="63"/>
        <v>0</v>
      </c>
      <c r="AK264" s="130"/>
      <c r="AL264" s="1146"/>
      <c r="AM264" s="73"/>
      <c r="AN264" s="1130"/>
      <c r="AO264" s="13">
        <v>168</v>
      </c>
      <c r="AP264" s="74"/>
      <c r="AQ264" s="75"/>
    </row>
    <row r="265" spans="1:43" ht="27" hidden="1" thickBot="1" x14ac:dyDescent="0.45">
      <c r="A265" s="1156" t="s">
        <v>818</v>
      </c>
      <c r="B265" s="167" t="s">
        <v>863</v>
      </c>
      <c r="C265" s="557" t="s">
        <v>845</v>
      </c>
      <c r="D265" s="168">
        <f t="shared" ref="D265:AA265" si="110">D15</f>
        <v>0</v>
      </c>
      <c r="E265" s="168">
        <f t="shared" si="110"/>
        <v>0</v>
      </c>
      <c r="F265" s="168">
        <f t="shared" si="110"/>
        <v>0</v>
      </c>
      <c r="G265" s="168">
        <f t="shared" si="110"/>
        <v>0</v>
      </c>
      <c r="H265" s="168">
        <f t="shared" si="110"/>
        <v>0</v>
      </c>
      <c r="I265" s="168">
        <f t="shared" si="110"/>
        <v>0</v>
      </c>
      <c r="J265" s="168">
        <f t="shared" si="110"/>
        <v>0</v>
      </c>
      <c r="K265" s="168">
        <f t="shared" si="110"/>
        <v>0</v>
      </c>
      <c r="L265" s="168">
        <f t="shared" si="110"/>
        <v>0</v>
      </c>
      <c r="M265" s="168">
        <f t="shared" si="110"/>
        <v>0</v>
      </c>
      <c r="N265" s="168">
        <f t="shared" si="110"/>
        <v>0</v>
      </c>
      <c r="O265" s="168">
        <f t="shared" si="110"/>
        <v>0</v>
      </c>
      <c r="P265" s="168">
        <f t="shared" si="110"/>
        <v>0</v>
      </c>
      <c r="Q265" s="168">
        <f t="shared" si="110"/>
        <v>0</v>
      </c>
      <c r="R265" s="168">
        <f t="shared" si="110"/>
        <v>0</v>
      </c>
      <c r="S265" s="168">
        <f t="shared" si="110"/>
        <v>0</v>
      </c>
      <c r="T265" s="168">
        <f t="shared" si="110"/>
        <v>0</v>
      </c>
      <c r="U265" s="168">
        <f t="shared" si="110"/>
        <v>0</v>
      </c>
      <c r="V265" s="168">
        <f t="shared" si="110"/>
        <v>0</v>
      </c>
      <c r="W265" s="168">
        <f t="shared" si="110"/>
        <v>0</v>
      </c>
      <c r="X265" s="168">
        <f t="shared" si="110"/>
        <v>0</v>
      </c>
      <c r="Y265" s="168">
        <f t="shared" si="110"/>
        <v>0</v>
      </c>
      <c r="Z265" s="168">
        <f t="shared" si="110"/>
        <v>0</v>
      </c>
      <c r="AA265" s="168">
        <f t="shared" si="110"/>
        <v>0</v>
      </c>
      <c r="AB265" s="335"/>
      <c r="AC265" s="335"/>
      <c r="AD265" s="335"/>
      <c r="AE265" s="335"/>
      <c r="AF265" s="335"/>
      <c r="AG265" s="335"/>
      <c r="AH265" s="335"/>
      <c r="AI265" s="335"/>
      <c r="AJ265" s="52">
        <f t="shared" si="63"/>
        <v>0</v>
      </c>
      <c r="AK265" s="30" t="str">
        <f>CONCATENATE(IF(D266&gt;D265," * No Screened for GBV "&amp;$D$20&amp;" "&amp;$D$21&amp;" is more than Clients Seen at MCH"&amp;CHAR(10),""),IF(E266&gt;E265," * No Screened For GBV "&amp;$D$20&amp;" "&amp;$E$21&amp;" is more than Clients Seen at MCH"&amp;CHAR(10),""),IF(F266&gt;F265," * No Screened For GBV "&amp;$F$20&amp;" "&amp;$F$21&amp;" is more than Clients Seen at MCH"&amp;CHAR(10),""),IF(G266&gt;G265," * No Screened For GBV "&amp;$F$20&amp;" "&amp;$G$21&amp;" is more than Clients Seen at MCH"&amp;CHAR(10),""),IF(H266&gt;H265," * No Screened For GBV "&amp;$H$20&amp;" "&amp;$H$21&amp;" is more than Clients Seen at MCH"&amp;CHAR(10),""),IF(I266&gt;I265," * No Screened For GBV "&amp;$H$20&amp;" "&amp;$I$21&amp;" is more than Clients Seen at MCH"&amp;CHAR(10),""),IF(J266&gt;J265," * No Screened For GBV "&amp;$J$20&amp;" "&amp;$J$21&amp;" is more than Clients Seen at MCH"&amp;CHAR(10),""),IF(K266&gt;K265," * No Screened For GBV "&amp;$J$20&amp;" "&amp;$K$21&amp;" is more than Clients Seen at MCH"&amp;CHAR(10),""),IF(L266&gt;L265," * No Screened For GBV "&amp;$L$20&amp;" "&amp;$L$21&amp;" is more than Clients Seen at MCH"&amp;CHAR(10),""),IF(M266&gt;M265," * No Screened For GBV "&amp;$L$20&amp;" "&amp;$M$21&amp;" is more than Clients Seen at MCH"&amp;CHAR(10),""),IF(N266&gt;N265," * No Screened For GBV "&amp;$N$20&amp;" "&amp;$N$21&amp;" is more than Clients Seen at MCH"&amp;CHAR(10),""),IF(O266&gt;O265," * No Screened For GBV "&amp;$N$20&amp;" "&amp;$O$21&amp;" is more than Clients Seen at MCH"&amp;CHAR(10),""),IF(P266&gt;P265," * No Screened For GBV "&amp;$P$20&amp;" "&amp;$P$21&amp;" is more than Clients Seen at MCH"&amp;CHAR(10),""),IF(Q266&gt;Q265," * No Screened For GBV "&amp;$P$20&amp;" "&amp;$Q$21&amp;" is more than Clients Seen at MCH"&amp;CHAR(10),""),IF(R266&gt;R265," * No Screened For GBV "&amp;$R$20&amp;" "&amp;$R$21&amp;" is more than Clients Seen at MCH"&amp;CHAR(10),""),IF(S266&gt;S265," * No Screened For GBV "&amp;$R$20&amp;" "&amp;$S$21&amp;" is more than Clients Seen at MCH"&amp;CHAR(10),""),IF(T266&gt;T265," * No Screened For GBV "&amp;$T$20&amp;" "&amp;$T$21&amp;" is more than Clients Seen at MCH"&amp;CHAR(10),""),IF(U266&gt;U265," * No Screened For GBV "&amp;$T$20&amp;" "&amp;$U$21&amp;" is more than Clients Seen at MCH"&amp;CHAR(10),""),IF(V266&gt;V265," * No Screened For GBV "&amp;$V$20&amp;" "&amp;$V$21&amp;" is more than Clients Seen at MCH"&amp;CHAR(10),""),IF(W266&gt;W265," * No Screened For GBV "&amp;$V$20&amp;" "&amp;$W$21&amp;" is more than Clients Seen at MCH"&amp;CHAR(10),""),IF(X266&gt;X265," * No Screened For GBV "&amp;$X$20&amp;" "&amp;$X$21&amp;" is more than Clients Seen at MCH"&amp;CHAR(10),""),IF(Y266&gt;Y265," * No Screened For GBV "&amp;$X$20&amp;" "&amp;$Y$21&amp;" is more than Clients Seen at MCH"&amp;CHAR(10),""),IF(Z266&gt;Z265," * No Screened For GBV "&amp;$Z$20&amp;" "&amp;$Z$21&amp;" is more than Clients Seen at MCH"&amp;CHAR(10),""),IF(AA266&gt;AA265," * No Screened For GBV "&amp;$Z$20&amp;" "&amp;$AA$21&amp;" is more than Clients Seen at MCH"&amp;CHAR(10),""))</f>
        <v/>
      </c>
      <c r="AL265" s="1121" t="str">
        <f>CONCATENATE(AK265,AK266,AK267,AK268,AK269,AK270,AK271,AK272,AK273)</f>
        <v/>
      </c>
      <c r="AM265" s="73"/>
      <c r="AN265" s="1130"/>
      <c r="AO265" s="13">
        <v>169</v>
      </c>
      <c r="AP265" s="74"/>
      <c r="AQ265" s="75"/>
    </row>
    <row r="266" spans="1:43" ht="27" hidden="1" thickBot="1" x14ac:dyDescent="0.45">
      <c r="A266" s="1157"/>
      <c r="B266" s="169" t="s">
        <v>858</v>
      </c>
      <c r="C266" s="555" t="s">
        <v>846</v>
      </c>
      <c r="D266" s="170"/>
      <c r="E266" s="170"/>
      <c r="F266" s="170"/>
      <c r="G266" s="170"/>
      <c r="H266" s="170"/>
      <c r="I266" s="170"/>
      <c r="J266" s="170"/>
      <c r="K266" s="170"/>
      <c r="L266" s="170"/>
      <c r="M266" s="170"/>
      <c r="N266" s="170"/>
      <c r="O266" s="170"/>
      <c r="P266" s="170"/>
      <c r="Q266" s="170"/>
      <c r="R266" s="170"/>
      <c r="S266" s="170"/>
      <c r="T266" s="170"/>
      <c r="U266" s="170"/>
      <c r="V266" s="170"/>
      <c r="W266" s="170"/>
      <c r="X266" s="170"/>
      <c r="Y266" s="170"/>
      <c r="Z266" s="170"/>
      <c r="AA266" s="170"/>
      <c r="AB266" s="333"/>
      <c r="AC266" s="333"/>
      <c r="AD266" s="333"/>
      <c r="AE266" s="333"/>
      <c r="AF266" s="333"/>
      <c r="AG266" s="333"/>
      <c r="AH266" s="333"/>
      <c r="AI266" s="333"/>
      <c r="AJ266" s="52">
        <f t="shared" si="63"/>
        <v>0</v>
      </c>
      <c r="AK266" s="130"/>
      <c r="AL266" s="1122"/>
      <c r="AM266" s="31"/>
      <c r="AN266" s="1130"/>
      <c r="AO266" s="13">
        <v>170</v>
      </c>
      <c r="AP266" s="74"/>
      <c r="AQ266" s="75"/>
    </row>
    <row r="267" spans="1:43" ht="27" hidden="1" thickBot="1" x14ac:dyDescent="0.45">
      <c r="A267" s="1157"/>
      <c r="B267" s="171" t="s">
        <v>866</v>
      </c>
      <c r="C267" s="555" t="s">
        <v>847</v>
      </c>
      <c r="D267" s="172">
        <f>D268+D270+D272+D273</f>
        <v>0</v>
      </c>
      <c r="E267" s="172">
        <f t="shared" ref="E267" si="111">E268+E270+E272+E273</f>
        <v>0</v>
      </c>
      <c r="F267" s="172">
        <f t="shared" ref="F267" si="112">F268+F270+F272+F273</f>
        <v>0</v>
      </c>
      <c r="G267" s="172">
        <f t="shared" ref="G267" si="113">G268+G270+G272+G273</f>
        <v>0</v>
      </c>
      <c r="H267" s="172">
        <f t="shared" ref="H267" si="114">H268+H270+H272+H273</f>
        <v>0</v>
      </c>
      <c r="I267" s="172">
        <f t="shared" ref="I267" si="115">I268+I270+I272+I273</f>
        <v>0</v>
      </c>
      <c r="J267" s="172">
        <f t="shared" ref="J267" si="116">J268+J270+J272+J273</f>
        <v>0</v>
      </c>
      <c r="K267" s="172">
        <f t="shared" ref="K267" si="117">K268+K270+K272+K273</f>
        <v>0</v>
      </c>
      <c r="L267" s="172">
        <f t="shared" ref="L267" si="118">L268+L270+L272+L273</f>
        <v>0</v>
      </c>
      <c r="M267" s="172">
        <f t="shared" ref="M267" si="119">M268+M270+M272+M273</f>
        <v>0</v>
      </c>
      <c r="N267" s="172">
        <f t="shared" ref="N267" si="120">N268+N270+N272+N273</f>
        <v>0</v>
      </c>
      <c r="O267" s="172">
        <f t="shared" ref="O267" si="121">O268+O270+O272+O273</f>
        <v>0</v>
      </c>
      <c r="P267" s="172">
        <f t="shared" ref="P267" si="122">P268+P270+P272+P273</f>
        <v>0</v>
      </c>
      <c r="Q267" s="172">
        <f t="shared" ref="Q267" si="123">Q268+Q270+Q272+Q273</f>
        <v>0</v>
      </c>
      <c r="R267" s="172">
        <f t="shared" ref="R267" si="124">R268+R270+R272+R273</f>
        <v>0</v>
      </c>
      <c r="S267" s="172">
        <f t="shared" ref="S267" si="125">S268+S270+S272+S273</f>
        <v>0</v>
      </c>
      <c r="T267" s="172">
        <f t="shared" ref="T267" si="126">T268+T270+T272+T273</f>
        <v>0</v>
      </c>
      <c r="U267" s="172">
        <f t="shared" ref="U267" si="127">U268+U270+U272+U273</f>
        <v>0</v>
      </c>
      <c r="V267" s="172">
        <f t="shared" ref="V267" si="128">V268+V270+V272+V273</f>
        <v>0</v>
      </c>
      <c r="W267" s="172">
        <f t="shared" ref="W267" si="129">W268+W270+W272+W273</f>
        <v>0</v>
      </c>
      <c r="X267" s="172">
        <f t="shared" ref="X267" si="130">X268+X270+X272+X273</f>
        <v>0</v>
      </c>
      <c r="Y267" s="172">
        <f t="shared" ref="Y267" si="131">Y268+Y270+Y272+Y273</f>
        <v>0</v>
      </c>
      <c r="Z267" s="172">
        <f t="shared" ref="Z267" si="132">Z268+Z270+Z272+Z273</f>
        <v>0</v>
      </c>
      <c r="AA267" s="172">
        <f t="shared" ref="AA267" si="133">AA268+AA270+AA272+AA273</f>
        <v>0</v>
      </c>
      <c r="AB267" s="332"/>
      <c r="AC267" s="332"/>
      <c r="AD267" s="332"/>
      <c r="AE267" s="332"/>
      <c r="AF267" s="332"/>
      <c r="AG267" s="332"/>
      <c r="AH267" s="332"/>
      <c r="AI267" s="332"/>
      <c r="AJ267" s="52">
        <f t="shared" si="63"/>
        <v>0</v>
      </c>
      <c r="AK267" s="130"/>
      <c r="AL267" s="1122"/>
      <c r="AM267" s="31"/>
      <c r="AN267" s="1130"/>
      <c r="AO267" s="13">
        <v>171</v>
      </c>
      <c r="AP267" s="74"/>
      <c r="AQ267" s="75"/>
    </row>
    <row r="268" spans="1:43" ht="27" hidden="1" thickBot="1" x14ac:dyDescent="0.45">
      <c r="A268" s="1157"/>
      <c r="B268" s="169" t="s">
        <v>811</v>
      </c>
      <c r="C268" s="555" t="s">
        <v>848</v>
      </c>
      <c r="D268" s="174"/>
      <c r="E268" s="174"/>
      <c r="F268" s="174"/>
      <c r="G268" s="174"/>
      <c r="H268" s="174"/>
      <c r="I268" s="174"/>
      <c r="J268" s="174"/>
      <c r="K268" s="174"/>
      <c r="L268" s="174"/>
      <c r="M268" s="174"/>
      <c r="N268" s="174"/>
      <c r="O268" s="174"/>
      <c r="P268" s="174"/>
      <c r="Q268" s="174"/>
      <c r="R268" s="174"/>
      <c r="S268" s="174"/>
      <c r="T268" s="174"/>
      <c r="U268" s="174"/>
      <c r="V268" s="174"/>
      <c r="W268" s="174"/>
      <c r="X268" s="174"/>
      <c r="Y268" s="174"/>
      <c r="Z268" s="174"/>
      <c r="AA268" s="174"/>
      <c r="AB268" s="333"/>
      <c r="AC268" s="333"/>
      <c r="AD268" s="333"/>
      <c r="AE268" s="333"/>
      <c r="AF268" s="333"/>
      <c r="AG268" s="333"/>
      <c r="AH268" s="333"/>
      <c r="AI268" s="333"/>
      <c r="AJ268" s="52">
        <f t="shared" si="63"/>
        <v>0</v>
      </c>
      <c r="AK268" s="30" t="str">
        <f>CONCATENATE(IF(D269&gt;D268," * OPD Sexual Violence Initiated Pep "&amp;$D$20&amp;" "&amp;$D$21&amp;" is more than OPD Sexual Violence Rape Survivors"&amp;CHAR(10),""),IF(E269&gt;E268," * OPD Sexual Violence Initiated Pep "&amp;$D$20&amp;" "&amp;$E$21&amp;" is more than OPD Sexual Violence Rape Survivors"&amp;CHAR(10),""),IF(F269&gt;F268," * OPD Sexual Violence Initiated Pep "&amp;$F$20&amp;" "&amp;$F$21&amp;" is more than OPD Sexual Violence Rape Survivors"&amp;CHAR(10),""),IF(G269&gt;G268," * OPD Sexual Violence Initiated Pep "&amp;$F$20&amp;" "&amp;$G$21&amp;" is more than OPD Sexual Violence Rape Survivors"&amp;CHAR(10),""),IF(H269&gt;H268," * OPD Sexual Violence Initiated Pep "&amp;$H$20&amp;" "&amp;$H$21&amp;" is more than OPD Sexual Violence Rape Survivors"&amp;CHAR(10),""),IF(I269&gt;I268," * OPD Sexual Violence Initiated Pep "&amp;$H$20&amp;" "&amp;$I$21&amp;" is more than OPD Sexual Violence Rape Survivors"&amp;CHAR(10),""),IF(J269&gt;J268," * OPD Sexual Violence Initiated Pep "&amp;$J$20&amp;" "&amp;$J$21&amp;" is more than OPD Sexual Violence Rape Survivors"&amp;CHAR(10),""),IF(K269&gt;K268," * OPD Sexual Violence Initiated Pep "&amp;$J$20&amp;" "&amp;$K$21&amp;" is more than OPD Sexual Violence Rape Survivors"&amp;CHAR(10),""),IF(L269&gt;L268," * OPD Sexual Violence Initiated Pep "&amp;$L$20&amp;" "&amp;$L$21&amp;" is more than OPD Sexual Violence Rape Survivors"&amp;CHAR(10),""),IF(M269&gt;M268," * OPD Sexual Violence Initiated Pep "&amp;$L$20&amp;" "&amp;$M$21&amp;" is more than OPD Sexual Violence Rape Survivors"&amp;CHAR(10),""),IF(N269&gt;N268," * OPD Sexual Violence Initiated Pep "&amp;$N$20&amp;" "&amp;$N$21&amp;" is more than OPD Sexual Violence Rape Survivors"&amp;CHAR(10),""),IF(O269&gt;O268," * OPD Sexual Violence Initiated Pep "&amp;$N$20&amp;" "&amp;$O$21&amp;" is more than OPD Sexual Violence Rape Survivors"&amp;CHAR(10),""),IF(P269&gt;P268," * OPD Sexual Violence Initiated Pep "&amp;$P$20&amp;" "&amp;$P$21&amp;" is more than OPD Sexual Violence Rape Survivors"&amp;CHAR(10),""),IF(Q269&gt;Q268," * OPD Sexual Violence Initiated Pep "&amp;$P$20&amp;" "&amp;$Q$21&amp;" is more than OPD Sexual Violence Rape Survivors"&amp;CHAR(10),""),IF(R269&gt;R268," * OPD Sexual Violence Initiated Pep "&amp;$R$20&amp;" "&amp;$R$21&amp;" is more than OPD Sexual Violence Rape Survivors"&amp;CHAR(10),""),IF(S269&gt;S268," * OPD Sexual Violence Initiated Pep "&amp;$R$20&amp;" "&amp;$S$21&amp;" is more than OPD Sexual Violence Rape Survivors"&amp;CHAR(10),""),IF(T269&gt;T268," * OPD Sexual Violence Initiated Pep "&amp;$T$20&amp;" "&amp;$T$21&amp;" is more than OPD Sexual Violence Rape Survivors"&amp;CHAR(10),""),IF(U269&gt;U268," * OPD Sexual Violence Initiated Pep "&amp;$T$20&amp;" "&amp;$U$21&amp;" is more than OPD Sexual Violence Rape Survivors"&amp;CHAR(10),""),IF(V269&gt;V268," * OPD Sexual Violence Initiated Pep "&amp;$V$20&amp;" "&amp;$V$21&amp;" is more than OPD Sexual Violence Rape Survivors"&amp;CHAR(10),""),IF(W269&gt;W268," * OPD Sexual Violence Initiated Pep "&amp;$V$20&amp;" "&amp;$W$21&amp;" is more than OPD Sexual Violence Rape Survivors"&amp;CHAR(10),""),IF(X269&gt;X268," * OPD Sexual Violence Initiated Pep "&amp;$X$20&amp;" "&amp;$X$21&amp;" is more than OPD Sexual Violence Rape Survivors"&amp;CHAR(10),""),IF(Y269&gt;Y268," * OPD Sexual Violence Initiated Pep "&amp;$X$20&amp;" "&amp;$Y$21&amp;" is more than OPD Sexual Violence Rape Survivors"&amp;CHAR(10),""),IF(Z269&gt;Z268," * OPD Sexual Violence Initiated Pep "&amp;$Z$20&amp;" "&amp;$Z$21&amp;" is more than OPD Sexual Violence Rape Survivors"&amp;CHAR(10),""),IF(AA269&gt;AA268," * OPD Sexual Violence Initiated Pep "&amp;$Z$20&amp;" "&amp;$AA$21&amp;" is more than OPD Sexual Violence Rape Survivors"&amp;CHAR(10),""))</f>
        <v/>
      </c>
      <c r="AL268" s="1122"/>
      <c r="AM268" s="31"/>
      <c r="AN268" s="1130"/>
      <c r="AO268" s="13">
        <v>172</v>
      </c>
      <c r="AP268" s="74"/>
      <c r="AQ268" s="75"/>
    </row>
    <row r="269" spans="1:43" ht="27" hidden="1" thickBot="1" x14ac:dyDescent="0.45">
      <c r="A269" s="1157"/>
      <c r="B269" s="169" t="s">
        <v>812</v>
      </c>
      <c r="C269" s="555" t="s">
        <v>849</v>
      </c>
      <c r="D269" s="175"/>
      <c r="E269" s="175"/>
      <c r="F269" s="175"/>
      <c r="G269" s="175"/>
      <c r="H269" s="175"/>
      <c r="I269" s="175"/>
      <c r="J269" s="175"/>
      <c r="K269" s="175"/>
      <c r="L269" s="175"/>
      <c r="M269" s="175"/>
      <c r="N269" s="175"/>
      <c r="O269" s="175"/>
      <c r="P269" s="175"/>
      <c r="Q269" s="175"/>
      <c r="R269" s="175"/>
      <c r="S269" s="175"/>
      <c r="T269" s="175"/>
      <c r="U269" s="175"/>
      <c r="V269" s="175"/>
      <c r="W269" s="175"/>
      <c r="X269" s="175"/>
      <c r="Y269" s="175"/>
      <c r="Z269" s="175"/>
      <c r="AA269" s="175"/>
      <c r="AB269" s="333"/>
      <c r="AC269" s="333"/>
      <c r="AD269" s="333"/>
      <c r="AE269" s="333"/>
      <c r="AF269" s="333"/>
      <c r="AG269" s="333"/>
      <c r="AH269" s="333"/>
      <c r="AI269" s="333"/>
      <c r="AJ269" s="52">
        <f t="shared" si="63"/>
        <v>0</v>
      </c>
      <c r="AK269" s="130"/>
      <c r="AL269" s="1122"/>
      <c r="AM269" s="31"/>
      <c r="AN269" s="1130"/>
      <c r="AO269" s="13">
        <v>173</v>
      </c>
      <c r="AP269" s="74"/>
      <c r="AQ269" s="75"/>
    </row>
    <row r="270" spans="1:43" ht="27" hidden="1" thickBot="1" x14ac:dyDescent="0.45">
      <c r="A270" s="1157"/>
      <c r="B270" s="169" t="s">
        <v>813</v>
      </c>
      <c r="C270" s="555" t="s">
        <v>851</v>
      </c>
      <c r="D270" s="174"/>
      <c r="E270" s="174"/>
      <c r="F270" s="174"/>
      <c r="G270" s="174"/>
      <c r="H270" s="174"/>
      <c r="I270" s="174"/>
      <c r="J270" s="174"/>
      <c r="K270" s="174"/>
      <c r="L270" s="174"/>
      <c r="M270" s="174"/>
      <c r="N270" s="174"/>
      <c r="O270" s="174"/>
      <c r="P270" s="174"/>
      <c r="Q270" s="174"/>
      <c r="R270" s="174"/>
      <c r="S270" s="174"/>
      <c r="T270" s="174"/>
      <c r="U270" s="174"/>
      <c r="V270" s="174"/>
      <c r="W270" s="174"/>
      <c r="X270" s="174"/>
      <c r="Y270" s="174"/>
      <c r="Z270" s="174"/>
      <c r="AA270" s="174"/>
      <c r="AB270" s="333"/>
      <c r="AC270" s="333"/>
      <c r="AD270" s="333"/>
      <c r="AE270" s="333"/>
      <c r="AF270" s="333"/>
      <c r="AG270" s="333"/>
      <c r="AH270" s="333"/>
      <c r="AI270" s="333"/>
      <c r="AJ270" s="52">
        <f t="shared" si="63"/>
        <v>0</v>
      </c>
      <c r="AK270" s="30" t="str">
        <f>CONCATENATE(IF(D271&gt;D270," * MCH  Physical Violence Initiated Pep "&amp;$D$20&amp;" "&amp;$D$21&amp;" is more than MCH Physical Violence Rape Survivors"&amp;CHAR(10),""),IF(E271&gt;E270," * MCH  Physical Violence Initiated Pep "&amp;$D$20&amp;" "&amp;$E$21&amp;" is more than MCH Physical Violence Rape Survivors"&amp;CHAR(10),""),IF(F271&gt;F270," * MCH  Physical Violence Initiated Pep "&amp;$F$20&amp;" "&amp;$F$21&amp;" is more than MCH Physical Violence Rape Survivors"&amp;CHAR(10),""),IF(G271&gt;G270," * MCH  Physical Violence Initiated Pep "&amp;$F$20&amp;" "&amp;$G$21&amp;" is more than MCH Physical Violence Rape Survivors"&amp;CHAR(10),""),IF(H271&gt;H270," * MCH  Physical Violence Initiated Pep "&amp;$H$20&amp;" "&amp;$H$21&amp;" is more than MCH Physical Violence Rape Survivors"&amp;CHAR(10),""),IF(I271&gt;I270," * MCH  Physical Violence Initiated Pep "&amp;$H$20&amp;" "&amp;$I$21&amp;" is more than MCH Physical Violence Rape Survivors"&amp;CHAR(10),""),IF(J271&gt;J270," * MCH  Physical Violence Initiated Pep "&amp;$J$20&amp;" "&amp;$J$21&amp;" is more than MCH Physical Violence Rape Survivors"&amp;CHAR(10),""),IF(K271&gt;K270," * MCH  Physical Violence Initiated Pep "&amp;$J$20&amp;" "&amp;$K$21&amp;" is more than MCH Physical Violence Rape Survivors"&amp;CHAR(10),""),IF(L271&gt;L270," * MCH  Physical Violence Initiated Pep "&amp;$L$20&amp;" "&amp;$L$21&amp;" is more than MCH Physical Violence Rape Survivors"&amp;CHAR(10),""),IF(M271&gt;M270," * MCH  Physical Violence Initiated Pep "&amp;$L$20&amp;" "&amp;$M$21&amp;" is more than MCH Physical Violence Rape Survivors"&amp;CHAR(10),""),IF(N271&gt;N270," * MCH  Physical Violence Initiated Pep "&amp;$N$20&amp;" "&amp;$N$21&amp;" is more than MCH Physical Violence Rape Survivors"&amp;CHAR(10),""),IF(O271&gt;O270," * MCH  Physical Violence Initiated Pep "&amp;$N$20&amp;" "&amp;$O$21&amp;" is more than MCH Physical Violence Rape Survivors"&amp;CHAR(10),""),IF(P271&gt;P270," * MCH  Physical Violence Initiated Pep "&amp;$P$20&amp;" "&amp;$P$21&amp;" is more than MCH Physical Violence Rape Survivors"&amp;CHAR(10),""),IF(Q271&gt;Q270," * MCH  Physical Violence Initiated Pep "&amp;$P$20&amp;" "&amp;$Q$21&amp;" is more than MCH Physical Violence Rape Survivors"&amp;CHAR(10),""),IF(R271&gt;R270," * MCH  Physical Violence Initiated Pep "&amp;$R$20&amp;" "&amp;$R$21&amp;" is more than MCH Physical Violence Rape Survivors"&amp;CHAR(10),""),IF(S271&gt;S270," * MCH  Physical Violence Initiated Pep "&amp;$R$20&amp;" "&amp;$S$21&amp;" is more than MCH Physical Violence Rape Survivors"&amp;CHAR(10),""),IF(T271&gt;T270," * MCH  Physical Violence Initiated Pep "&amp;$T$20&amp;" "&amp;$T$21&amp;" is more than MCH Physical Violence Rape Survivors"&amp;CHAR(10),""),IF(U271&gt;U270," * MCH  Physical Violence Initiated Pep "&amp;$T$20&amp;" "&amp;$U$21&amp;" is more than MCH Physical Violence Rape Survivors"&amp;CHAR(10),""),IF(V271&gt;V270," * MCH  Physical Violence Initiated Pep "&amp;$V$20&amp;" "&amp;$V$21&amp;" is more than MCH Physical Violence Rape Survivors"&amp;CHAR(10),""),IF(W271&gt;W270," * MCH  Physical Violence Initiated Pep "&amp;$V$20&amp;" "&amp;$W$21&amp;" is more than MCH Physical Violence Rape Survivors"&amp;CHAR(10),""),IF(X271&gt;X270," * MCH  Physical Violence Initiated Pep "&amp;$X$20&amp;" "&amp;$X$21&amp;" is more than MCH Physical Violence Rape Survivors"&amp;CHAR(10),""),IF(Y271&gt;Y270," * MCH  Physical Violence Initiated Pep "&amp;$X$20&amp;" "&amp;$Y$21&amp;" is more than MCH Physical Violence Rape Survivors"&amp;CHAR(10),""),IF(Z271&gt;Z270," * MCH  Physical Violence Initiated Pep "&amp;$Z$20&amp;" "&amp;$Z$21&amp;" is more than MCH Physical Violence Rape Survivors"&amp;CHAR(10),""),IF(AA271&gt;AA270," * MCH  Physical Violence Initiated Pep "&amp;$Z$20&amp;" "&amp;$AA$21&amp;" is more than MCH Physical Violence Rape Survivors"&amp;CHAR(10),""))</f>
        <v/>
      </c>
      <c r="AL270" s="1122"/>
      <c r="AM270" s="31"/>
      <c r="AN270" s="1130"/>
      <c r="AO270" s="13">
        <v>174</v>
      </c>
      <c r="AP270" s="74"/>
      <c r="AQ270" s="75"/>
    </row>
    <row r="271" spans="1:43" ht="27" hidden="1" thickBot="1" x14ac:dyDescent="0.45">
      <c r="A271" s="1157"/>
      <c r="B271" s="169" t="s">
        <v>814</v>
      </c>
      <c r="C271" s="555" t="s">
        <v>852</v>
      </c>
      <c r="D271" s="175"/>
      <c r="E271" s="175"/>
      <c r="F271" s="175"/>
      <c r="G271" s="175"/>
      <c r="H271" s="175"/>
      <c r="I271" s="175"/>
      <c r="J271" s="175"/>
      <c r="K271" s="175"/>
      <c r="L271" s="175"/>
      <c r="M271" s="175"/>
      <c r="N271" s="175"/>
      <c r="O271" s="175"/>
      <c r="P271" s="175"/>
      <c r="Q271" s="175"/>
      <c r="R271" s="175"/>
      <c r="S271" s="175"/>
      <c r="T271" s="175"/>
      <c r="U271" s="175"/>
      <c r="V271" s="175"/>
      <c r="W271" s="175"/>
      <c r="X271" s="175"/>
      <c r="Y271" s="175"/>
      <c r="Z271" s="175"/>
      <c r="AA271" s="175"/>
      <c r="AB271" s="333"/>
      <c r="AC271" s="333"/>
      <c r="AD271" s="333"/>
      <c r="AE271" s="333"/>
      <c r="AF271" s="333"/>
      <c r="AG271" s="333"/>
      <c r="AH271" s="333"/>
      <c r="AI271" s="333"/>
      <c r="AJ271" s="52">
        <f t="shared" si="63"/>
        <v>0</v>
      </c>
      <c r="AK271" s="130"/>
      <c r="AL271" s="1122"/>
      <c r="AM271" s="31"/>
      <c r="AN271" s="1130"/>
      <c r="AO271" s="13">
        <v>175</v>
      </c>
      <c r="AP271" s="74"/>
      <c r="AQ271" s="75"/>
    </row>
    <row r="272" spans="1:43" ht="27" hidden="1" thickBot="1" x14ac:dyDescent="0.45">
      <c r="A272" s="1157"/>
      <c r="B272" s="169" t="s">
        <v>815</v>
      </c>
      <c r="C272" s="555" t="s">
        <v>853</v>
      </c>
      <c r="D272" s="176"/>
      <c r="E272" s="175"/>
      <c r="F272" s="175"/>
      <c r="G272" s="175"/>
      <c r="H272" s="175"/>
      <c r="I272" s="175"/>
      <c r="J272" s="175"/>
      <c r="K272" s="175"/>
      <c r="L272" s="175"/>
      <c r="M272" s="175"/>
      <c r="N272" s="175"/>
      <c r="O272" s="175"/>
      <c r="P272" s="175"/>
      <c r="Q272" s="175"/>
      <c r="R272" s="175"/>
      <c r="S272" s="175"/>
      <c r="T272" s="175"/>
      <c r="U272" s="175"/>
      <c r="V272" s="175"/>
      <c r="W272" s="175"/>
      <c r="X272" s="175"/>
      <c r="Y272" s="175"/>
      <c r="Z272" s="175"/>
      <c r="AA272" s="177"/>
      <c r="AB272" s="333"/>
      <c r="AC272" s="333"/>
      <c r="AD272" s="333"/>
      <c r="AE272" s="333"/>
      <c r="AF272" s="333"/>
      <c r="AG272" s="333"/>
      <c r="AH272" s="333"/>
      <c r="AI272" s="333"/>
      <c r="AJ272" s="52">
        <f t="shared" si="63"/>
        <v>0</v>
      </c>
      <c r="AK272" s="130"/>
      <c r="AL272" s="1122"/>
      <c r="AM272" s="31"/>
      <c r="AN272" s="1130"/>
      <c r="AO272" s="13">
        <v>176</v>
      </c>
      <c r="AP272" s="74"/>
      <c r="AQ272" s="75"/>
    </row>
    <row r="273" spans="1:43" ht="27" hidden="1" thickBot="1" x14ac:dyDescent="0.45">
      <c r="A273" s="1158"/>
      <c r="B273" s="183" t="s">
        <v>850</v>
      </c>
      <c r="C273" s="555" t="s">
        <v>854</v>
      </c>
      <c r="D273" s="179"/>
      <c r="E273" s="180"/>
      <c r="F273" s="180"/>
      <c r="G273" s="180"/>
      <c r="H273" s="180"/>
      <c r="I273" s="180"/>
      <c r="J273" s="180"/>
      <c r="K273" s="180"/>
      <c r="L273" s="180"/>
      <c r="M273" s="180"/>
      <c r="N273" s="180"/>
      <c r="O273" s="180"/>
      <c r="P273" s="180"/>
      <c r="Q273" s="180"/>
      <c r="R273" s="180"/>
      <c r="S273" s="180"/>
      <c r="T273" s="180"/>
      <c r="U273" s="180"/>
      <c r="V273" s="180"/>
      <c r="W273" s="180"/>
      <c r="X273" s="180"/>
      <c r="Y273" s="180"/>
      <c r="Z273" s="180"/>
      <c r="AA273" s="181"/>
      <c r="AB273" s="333"/>
      <c r="AC273" s="333"/>
      <c r="AD273" s="333"/>
      <c r="AE273" s="333"/>
      <c r="AF273" s="333"/>
      <c r="AG273" s="333"/>
      <c r="AH273" s="333"/>
      <c r="AI273" s="333"/>
      <c r="AJ273" s="184">
        <f t="shared" si="63"/>
        <v>0</v>
      </c>
      <c r="AK273" s="130"/>
      <c r="AL273" s="1146"/>
      <c r="AM273" s="31"/>
      <c r="AN273" s="1130"/>
      <c r="AO273" s="13">
        <v>177</v>
      </c>
      <c r="AP273" s="74"/>
      <c r="AQ273" s="75"/>
    </row>
    <row r="274" spans="1:43" ht="26.25" x14ac:dyDescent="0.4">
      <c r="A274" s="1340" t="s">
        <v>908</v>
      </c>
      <c r="B274" s="185" t="s">
        <v>907</v>
      </c>
      <c r="C274" s="558" t="s">
        <v>171</v>
      </c>
      <c r="D274" s="186"/>
      <c r="E274" s="187"/>
      <c r="F274" s="187"/>
      <c r="G274" s="187"/>
      <c r="H274" s="187"/>
      <c r="I274" s="187"/>
      <c r="J274" s="187"/>
      <c r="K274" s="187"/>
      <c r="L274" s="187"/>
      <c r="M274" s="187"/>
      <c r="N274" s="187"/>
      <c r="O274" s="187"/>
      <c r="P274" s="187"/>
      <c r="Q274" s="187"/>
      <c r="R274" s="187"/>
      <c r="S274" s="187"/>
      <c r="T274" s="187"/>
      <c r="U274" s="187"/>
      <c r="V274" s="187"/>
      <c r="W274" s="187"/>
      <c r="X274" s="187"/>
      <c r="Y274" s="187"/>
      <c r="Z274" s="187"/>
      <c r="AA274" s="381"/>
      <c r="AB274" s="373"/>
      <c r="AC274" s="374"/>
      <c r="AD274" s="374"/>
      <c r="AE274" s="374"/>
      <c r="AF274" s="374"/>
      <c r="AG274" s="374"/>
      <c r="AH274" s="374"/>
      <c r="AI274" s="305"/>
      <c r="AJ274" s="188">
        <f>SUM(D274:AA274)</f>
        <v>0</v>
      </c>
      <c r="AK274" s="130" t="str">
        <f>CONCATENATE(IF(D275&gt;D274," * Initiated Pep for Age "&amp;D20&amp;" "&amp;D21&amp;" is more than Rape survivors"&amp;CHAR(10),""),IF(E275&gt;E274," * Initiated Pep for Age "&amp;D20&amp;" "&amp;E21&amp;" is more than Rape survivors"&amp;CHAR(10),""),IF(F275&gt;F274," * Initiated Pep for Age "&amp;F20&amp;" "&amp;F21&amp;" is more than Rape survivors"&amp;CHAR(10),""),IF(G275&gt;G274," * Initiated Pep for Age "&amp;F20&amp;" "&amp;G21&amp;" is more than Rape survivors"&amp;CHAR(10),""),IF(H275&gt;H274," * Initiated Pep for Age "&amp;H20&amp;" "&amp;H21&amp;" is more than Rape survivors"&amp;CHAR(10),""),IF(I275&gt;I274," * Initiated Pep for Age "&amp;H20&amp;" "&amp;I21&amp;" is more than Rape survivors"&amp;CHAR(10),""),IF(J275&gt;J274," * Initiated Pep for Age "&amp;J20&amp;" "&amp;J21&amp;" is more than Rape survivors"&amp;CHAR(10),""),IF(K275&gt;K274," * Initiated Pep for Age "&amp;J20&amp;" "&amp;K21&amp;" is more than Rape survivors"&amp;CHAR(10),""),IF(L275&gt;L274," * Initiated Pep for Age "&amp;L20&amp;" "&amp;L21&amp;" is more than Rape survivors"&amp;CHAR(10),""),IF(M275&gt;M274," * Initiated Pep for Age "&amp;L20&amp;" "&amp;M21&amp;" is more than Rape survivors"&amp;CHAR(10),""),IF(N275&gt;N274," * Initiated Pep for Age "&amp;N20&amp;" "&amp;N21&amp;" is more than Rape survivors"&amp;CHAR(10),""),IF(O275&gt;O274," * Initiated Pep for Age "&amp;N20&amp;" "&amp;O21&amp;" is more than Rape survivors"&amp;CHAR(10),""),IF(P275&gt;P274," * Initiated Pep for Age "&amp;P20&amp;" "&amp;P21&amp;" is more than Rape survivors"&amp;CHAR(10),""),IF(Q275&gt;Q274," * Initiated Pep for Age "&amp;P20&amp;" "&amp;Q21&amp;" is more than Rape survivors"&amp;CHAR(10),""),IF(R275&gt;R274," * Initiated Pep for Age "&amp;R20&amp;" "&amp;R21&amp;" is more than Rape survivors"&amp;CHAR(10),""),IF(S275&gt;S274," * Initiated Pep for Age "&amp;R20&amp;" "&amp;S21&amp;" is more than Rape survivors"&amp;CHAR(10),""),IF(T275&gt;T274," * Initiated Pep for Age "&amp;T20&amp;" "&amp;T21&amp;" is more than Rape survivors"&amp;CHAR(10),""),IF(U275&gt;U274," * Initiated Pep for Age "&amp;T20&amp;" "&amp;U21&amp;" is more than Rape survivors"&amp;CHAR(10),""),IF(V275&gt;V274," * Initiated Pep for Age "&amp;V20&amp;" "&amp;V21&amp;" is more than Rape survivors"&amp;CHAR(10),""),IF(W275&gt;W274," * Initiated Pep for Age "&amp;V20&amp;" "&amp;W21&amp;" is more than Rape survivors"&amp;CHAR(10),""),IF(X275&gt;X274," * Initiated Pep for Age "&amp;X20&amp;" "&amp;X21&amp;" is more than Rape survivors"&amp;CHAR(10),""),IF(Y275&gt;Y274," * Initiated Pep for Age "&amp;X20&amp;" "&amp;Y21&amp;" is more than Rape survivors"&amp;CHAR(10),""),IF(Z275&gt;Z274," * Initiated Pep for Age "&amp;Z20&amp;" "&amp;Z21&amp;" is more than Rape survivors"&amp;CHAR(10),""),IF(AA275&gt;AA274," * Initiated Pep for Age "&amp;Z20&amp;" "&amp;AA21&amp;" is more than Rape survivors"&amp;CHAR(10),""))</f>
        <v/>
      </c>
      <c r="AL274" s="1147" t="str">
        <f>CONCATENATE(AK238,AK276,AK277,AK278,AK279,AK281,AK283,AK285,AK287,AK288,AK275,AK280,AK274,AK282)</f>
        <v/>
      </c>
      <c r="AM274" s="31"/>
      <c r="AN274" s="1130"/>
      <c r="AO274" s="13">
        <v>178</v>
      </c>
      <c r="AP274" s="74"/>
      <c r="AQ274" s="75"/>
    </row>
    <row r="275" spans="1:43" ht="27" thickBot="1" x14ac:dyDescent="0.45">
      <c r="A275" s="1341"/>
      <c r="B275" s="189" t="s">
        <v>867</v>
      </c>
      <c r="C275" s="578" t="s">
        <v>170</v>
      </c>
      <c r="D275" s="190"/>
      <c r="E275" s="191"/>
      <c r="F275" s="191"/>
      <c r="G275" s="191"/>
      <c r="H275" s="191"/>
      <c r="I275" s="191"/>
      <c r="J275" s="191"/>
      <c r="K275" s="191"/>
      <c r="L275" s="191"/>
      <c r="M275" s="191"/>
      <c r="N275" s="191"/>
      <c r="O275" s="191"/>
      <c r="P275" s="191"/>
      <c r="Q275" s="191"/>
      <c r="R275" s="191"/>
      <c r="S275" s="191"/>
      <c r="T275" s="191"/>
      <c r="U275" s="191"/>
      <c r="V275" s="191"/>
      <c r="W275" s="191"/>
      <c r="X275" s="191"/>
      <c r="Y275" s="191"/>
      <c r="Z275" s="191"/>
      <c r="AA275" s="382"/>
      <c r="AB275" s="375"/>
      <c r="AC275" s="345"/>
      <c r="AD275" s="345"/>
      <c r="AE275" s="345"/>
      <c r="AF275" s="345"/>
      <c r="AG275" s="345"/>
      <c r="AH275" s="345"/>
      <c r="AI275" s="302"/>
      <c r="AJ275" s="192">
        <f t="shared" ref="AJ275:AJ288" si="134">SUM(D275:AA275)</f>
        <v>0</v>
      </c>
      <c r="AK275" s="130"/>
      <c r="AL275" s="1142"/>
      <c r="AM275" s="31"/>
      <c r="AN275" s="1130"/>
      <c r="AO275" s="13">
        <v>179</v>
      </c>
      <c r="AP275" s="74"/>
      <c r="AQ275" s="75"/>
    </row>
    <row r="276" spans="1:43" ht="27" thickBot="1" x14ac:dyDescent="0.45">
      <c r="A276" s="1136" t="s">
        <v>909</v>
      </c>
      <c r="B276" s="185" t="s">
        <v>639</v>
      </c>
      <c r="C276" s="578" t="s">
        <v>229</v>
      </c>
      <c r="D276" s="193"/>
      <c r="E276" s="194"/>
      <c r="F276" s="194"/>
      <c r="G276" s="194"/>
      <c r="H276" s="194"/>
      <c r="I276" s="194"/>
      <c r="J276" s="194"/>
      <c r="K276" s="194"/>
      <c r="L276" s="194"/>
      <c r="M276" s="194"/>
      <c r="N276" s="194"/>
      <c r="O276" s="194"/>
      <c r="P276" s="194"/>
      <c r="Q276" s="194"/>
      <c r="R276" s="194"/>
      <c r="S276" s="194"/>
      <c r="T276" s="194"/>
      <c r="U276" s="194"/>
      <c r="V276" s="194"/>
      <c r="W276" s="194"/>
      <c r="X276" s="194"/>
      <c r="Y276" s="194"/>
      <c r="Z276" s="194"/>
      <c r="AA276" s="337"/>
      <c r="AB276" s="375"/>
      <c r="AC276" s="345"/>
      <c r="AD276" s="345"/>
      <c r="AE276" s="345"/>
      <c r="AF276" s="345"/>
      <c r="AG276" s="345"/>
      <c r="AH276" s="345"/>
      <c r="AI276" s="302"/>
      <c r="AJ276" s="383">
        <f>SUM(D276:AA276)</f>
        <v>0</v>
      </c>
      <c r="AK276" s="116" t="str">
        <f>CONCATENATE(IF(D277&gt;D276," * Initiated Pep for Age "&amp;D19&amp;" "&amp;D20&amp;" is more than No of Clients"&amp;CHAR(10),""),IF(E277&gt;E276," * Initiated Pep for Age "&amp;D19&amp;" "&amp;E20&amp;" is more than No of Clients"&amp;CHAR(10),""),IF(F277&gt;F276," * Initiated Pep for Age "&amp;F19&amp;" "&amp;F20&amp;" is more than No of Clients"&amp;CHAR(10),""),IF(G277&gt;G276," * Initiated Pep for Age "&amp;F19&amp;" "&amp;G20&amp;" is more than No of Clients"&amp;CHAR(10),""),IF(H277&gt;H276," * Initiated Pep for Age "&amp;H19&amp;" "&amp;H20&amp;" is more than No of Clients"&amp;CHAR(10),""),IF(I277&gt;I276," * Initiated Pep for Age "&amp;H19&amp;" "&amp;I20&amp;" is more than No of Clients"&amp;CHAR(10),""),IF(J277&gt;J276," * Initiated Pep for Age "&amp;J19&amp;" "&amp;J20&amp;" is more than No of Clients"&amp;CHAR(10),""),IF(K277&gt;K276," * Initiated Pep for Age "&amp;J19&amp;" "&amp;K20&amp;" is more than No of Clients"&amp;CHAR(10),""),IF(L277&gt;L276," * Initiated Pep for Age "&amp;L19&amp;" "&amp;L20&amp;" is more than No of Clients"&amp;CHAR(10),""),IF(M277&gt;M276," * Initiated Pep for Age "&amp;L19&amp;" "&amp;M20&amp;" is more than No of Clients"&amp;CHAR(10),""),IF(N277&gt;N276," * Initiated Pep for Age "&amp;N19&amp;" "&amp;N20&amp;" is more than No of Clients"&amp;CHAR(10),""),IF(O277&gt;O276," * Initiated Pep for Age "&amp;N19&amp;" "&amp;O20&amp;" is more than No of Clients"&amp;CHAR(10),""),IF(P277&gt;P276," * Initiated Pep for Age "&amp;P19&amp;" "&amp;P20&amp;" is more than No of Clients"&amp;CHAR(10),""),IF(Q277&gt;Q276," * Initiated Pep for Age "&amp;P19&amp;" "&amp;Q20&amp;" is more than No of Clients"&amp;CHAR(10),""),IF(R277&gt;R276," * Initiated Pep for Age "&amp;R19&amp;" "&amp;R20&amp;" is more than No of Clients"&amp;CHAR(10),""),IF(S277&gt;S276," * Initiated Pep for Age "&amp;R19&amp;" "&amp;S20&amp;" is more than No of Clients"&amp;CHAR(10),""),IF(T277&gt;T276," * Initiated Pep for Age "&amp;T19&amp;" "&amp;T20&amp;" is more than No of Clients"&amp;CHAR(10),""),IF(U277&gt;U276," * Initiated Pep for Age "&amp;T19&amp;" "&amp;U20&amp;" is more than No of Clients"&amp;CHAR(10),""),IF(V277&gt;V276," * Initiated Pep for Age "&amp;V19&amp;" "&amp;V20&amp;" is more than No of Clients"&amp;CHAR(10),""),IF(W277&gt;W276," * Initiated Pep for Age "&amp;V19&amp;" "&amp;W20&amp;" is more than No of Clients"&amp;CHAR(10),""),IF(X277&gt;X276," * Initiated Pep for Age "&amp;X19&amp;" "&amp;X20&amp;" is more than No of Clients"&amp;CHAR(10),""),IF(Y277&gt;Y276," * Initiated Pep for Age "&amp;X19&amp;" "&amp;Y20&amp;" is more than No of Clients"&amp;CHAR(10),""),IF(Z277&gt;Z276," * Initiated Pep for Age "&amp;Z19&amp;" "&amp;Z20&amp;" is more than No of Clients"&amp;CHAR(10),""),IF(AA277&gt;AA276," * Initiated Pep for Age "&amp;Z19&amp;" "&amp;AA20&amp;" is more than No of Clients"&amp;CHAR(10),""))</f>
        <v/>
      </c>
      <c r="AL276" s="1142"/>
      <c r="AM276" s="31"/>
      <c r="AN276" s="1130"/>
      <c r="AO276" s="13">
        <v>180</v>
      </c>
      <c r="AP276" s="74"/>
      <c r="AQ276" s="75"/>
    </row>
    <row r="277" spans="1:43" ht="27" hidden="1" thickBot="1" x14ac:dyDescent="0.45">
      <c r="A277" s="1110"/>
      <c r="B277" s="189" t="s">
        <v>638</v>
      </c>
      <c r="C277" s="569" t="s">
        <v>233</v>
      </c>
      <c r="D277" s="195"/>
      <c r="E277" s="196"/>
      <c r="F277" s="196"/>
      <c r="G277" s="196"/>
      <c r="H277" s="196"/>
      <c r="I277" s="196"/>
      <c r="J277" s="196"/>
      <c r="K277" s="196"/>
      <c r="L277" s="196"/>
      <c r="M277" s="196"/>
      <c r="N277" s="196"/>
      <c r="O277" s="196"/>
      <c r="P277" s="196"/>
      <c r="Q277" s="196"/>
      <c r="R277" s="196"/>
      <c r="S277" s="196"/>
      <c r="T277" s="196"/>
      <c r="U277" s="196"/>
      <c r="V277" s="196"/>
      <c r="W277" s="196"/>
      <c r="X277" s="196"/>
      <c r="Y277" s="196"/>
      <c r="Z277" s="196"/>
      <c r="AA277" s="336"/>
      <c r="AB277" s="375"/>
      <c r="AC277" s="345"/>
      <c r="AD277" s="345"/>
      <c r="AE277" s="345"/>
      <c r="AF277" s="345"/>
      <c r="AG277" s="345"/>
      <c r="AH277" s="345"/>
      <c r="AI277" s="302"/>
      <c r="AJ277" s="56">
        <f t="shared" si="134"/>
        <v>0</v>
      </c>
      <c r="AK277" s="116"/>
      <c r="AL277" s="1142"/>
      <c r="AM277" s="31"/>
      <c r="AN277" s="1130"/>
      <c r="AO277" s="13">
        <v>181</v>
      </c>
      <c r="AP277" s="74"/>
      <c r="AQ277" s="75"/>
    </row>
    <row r="278" spans="1:43" s="14" customFormat="1" ht="26.25" x14ac:dyDescent="0.4">
      <c r="A278" s="1191" t="s">
        <v>26</v>
      </c>
      <c r="B278" s="136" t="s">
        <v>640</v>
      </c>
      <c r="C278" s="578" t="s">
        <v>234</v>
      </c>
      <c r="D278" s="197"/>
      <c r="E278" s="197"/>
      <c r="F278" s="197"/>
      <c r="G278" s="197"/>
      <c r="H278" s="197"/>
      <c r="I278" s="197"/>
      <c r="J278" s="197"/>
      <c r="K278" s="197"/>
      <c r="L278" s="197"/>
      <c r="M278" s="197"/>
      <c r="N278" s="197"/>
      <c r="O278" s="197"/>
      <c r="P278" s="197"/>
      <c r="Q278" s="197"/>
      <c r="R278" s="197"/>
      <c r="S278" s="197"/>
      <c r="T278" s="197"/>
      <c r="U278" s="197"/>
      <c r="V278" s="197"/>
      <c r="W278" s="197"/>
      <c r="X278" s="197"/>
      <c r="Y278" s="197"/>
      <c r="Z278" s="197"/>
      <c r="AA278" s="338"/>
      <c r="AB278" s="375"/>
      <c r="AC278" s="345"/>
      <c r="AD278" s="345"/>
      <c r="AE278" s="345"/>
      <c r="AF278" s="345"/>
      <c r="AG278" s="345"/>
      <c r="AH278" s="345"/>
      <c r="AI278" s="302"/>
      <c r="AJ278" s="52">
        <f t="shared" si="134"/>
        <v>0</v>
      </c>
      <c r="AK278" s="116" t="str">
        <f>CONCATENATE(IF(D278&gt;D274," * Total Rape Survivors for Age "&amp;D20&amp;" "&amp;D21&amp;" is less than Screened For STI"&amp;CHAR(10),""),IF(E278&gt;E274," * Total Rape Survivors for Age "&amp;D20&amp;" "&amp;E21&amp;" is less than Screened For STI"&amp;CHAR(10),""),IF(F278&gt;F274," * Total Rape Survivors for Age "&amp;F20&amp;" "&amp;F21&amp;" is less than Screened For STI"&amp;CHAR(10),""),IF(G278&gt;G274," * Total Rape Survivors for Age "&amp;F20&amp;" "&amp;G21&amp;" is less than Screened For STI"&amp;CHAR(10),""),IF(H278&gt;H274," * Total Rape Survivors for Age "&amp;H20&amp;" "&amp;H21&amp;" is less than Screened For STI"&amp;CHAR(10),""),IF(I278&gt;I274," * Total Rape Survivors for Age "&amp;H20&amp;" "&amp;I21&amp;" is less than Screened For STI"&amp;CHAR(10),""),IF(J278&gt;J274," * Total Rape Survivors for Age "&amp;J20&amp;" "&amp;J21&amp;" is less than Screened For STI"&amp;CHAR(10),""),IF(K278&gt;K274," * Total Rape Survivors for Age "&amp;J20&amp;" "&amp;K21&amp;" is less than Screened For STI"&amp;CHAR(10),""),IF(L278&gt;L274," * Total Rape Survivors for Age "&amp;L20&amp;" "&amp;L21&amp;" is less than Screened For STI"&amp;CHAR(10),""),IF(M278&gt;M274," * Total Rape Survivors for Age "&amp;L20&amp;" "&amp;M21&amp;" is less than Screened For STI"&amp;CHAR(10),""),IF(N278&gt;N274," * Total Rape Survivors for Age "&amp;N20&amp;" "&amp;N21&amp;" is less than Screened For STI"&amp;CHAR(10),""),IF(O278&gt;O274," * Total Rape Survivors for Age "&amp;N20&amp;" "&amp;O21&amp;" is less than Screened For STI"&amp;CHAR(10),""),IF(P278&gt;P274," * Total Rape Survivors for Age "&amp;P20&amp;" "&amp;P21&amp;" is less than Screened For STI"&amp;CHAR(10),""),IF(Q278&gt;Q274," * Total Rape Survivors for Age "&amp;P20&amp;" "&amp;Q21&amp;" is less than Screened For STI"&amp;CHAR(10),""),IF(R278&gt;R274," * Total Rape Survivors for Age "&amp;R20&amp;" "&amp;R21&amp;" is less than Screened For STI"&amp;CHAR(10),""),IF(S278&gt;S274," * Total Rape Survivors for Age "&amp;R20&amp;" "&amp;S21&amp;" is less than Screened For STI"&amp;CHAR(10),""),IF(T278&gt;T274," * Total Rape Survivors for Age "&amp;T20&amp;" "&amp;T21&amp;" is less than Screened For STI"&amp;CHAR(10),""),IF(U278&gt;U274," * Total Rape Survivors for Age "&amp;T20&amp;" "&amp;U21&amp;" is less than Screened For STI"&amp;CHAR(10),""),IF(V278&gt;V274," * Total Rape Survivors for Age "&amp;V20&amp;" "&amp;V21&amp;" is less than Screened For STI"&amp;CHAR(10),""),IF(W278&gt;W274," * Total Rape Survivors for Age "&amp;V20&amp;" "&amp;W21&amp;" is less than Screened For STI"&amp;CHAR(10),""),IF(X278&gt;X274," * Total Rape Survivors for Age "&amp;X20&amp;" "&amp;X21&amp;" is less than Screened For STI"&amp;CHAR(10),""),IF(Y278&gt;Y274," * Total Rape Survivors for Age "&amp;X20&amp;" "&amp;Y21&amp;" is less than Screened For STI"&amp;CHAR(10),""),IF(Z278&gt;Z274," * Total Rape Survivors for Age "&amp;Z20&amp;" "&amp;Z21&amp;" is less than Screened For STI"&amp;CHAR(10),""),IF(AA278&gt;AA274," * Total Rape Survivors for Age "&amp;Z20&amp;" "&amp;AA21&amp;" is less than Screened For STI"&amp;CHAR(10),""),IF(AJ278&gt;AJ274," * Total Total Rape Survivors is less than Total Screened For STI"&amp;CHAR(10),""))</f>
        <v/>
      </c>
      <c r="AL278" s="1142"/>
      <c r="AM278" s="31"/>
      <c r="AN278" s="1130"/>
      <c r="AO278" s="13">
        <v>182</v>
      </c>
      <c r="AP278" s="74"/>
      <c r="AQ278" s="149"/>
    </row>
    <row r="279" spans="1:43" s="14" customFormat="1" ht="26.25" x14ac:dyDescent="0.4">
      <c r="A279" s="1192"/>
      <c r="B279" s="198" t="s">
        <v>641</v>
      </c>
      <c r="C279" s="559" t="s">
        <v>235</v>
      </c>
      <c r="D279" s="199"/>
      <c r="E279" s="200"/>
      <c r="F279" s="200"/>
      <c r="G279" s="200"/>
      <c r="H279" s="200"/>
      <c r="I279" s="200"/>
      <c r="J279" s="200"/>
      <c r="K279" s="200"/>
      <c r="L279" s="200"/>
      <c r="M279" s="200"/>
      <c r="N279" s="200"/>
      <c r="O279" s="200"/>
      <c r="P279" s="200"/>
      <c r="Q279" s="200"/>
      <c r="R279" s="200"/>
      <c r="S279" s="200"/>
      <c r="T279" s="200"/>
      <c r="U279" s="200"/>
      <c r="V279" s="200"/>
      <c r="W279" s="200"/>
      <c r="X279" s="200"/>
      <c r="Y279" s="200"/>
      <c r="Z279" s="200"/>
      <c r="AA279" s="339"/>
      <c r="AB279" s="375"/>
      <c r="AC279" s="345"/>
      <c r="AD279" s="345"/>
      <c r="AE279" s="345"/>
      <c r="AF279" s="345"/>
      <c r="AG279" s="345"/>
      <c r="AH279" s="345"/>
      <c r="AI279" s="302"/>
      <c r="AJ279" s="173">
        <f t="shared" si="134"/>
        <v>0</v>
      </c>
      <c r="AK279" s="130" t="str">
        <f>CONCATENATE(IF(D279&gt;D278," * Screened For STI for Age "&amp;D20&amp;" "&amp;D21&amp;" is more than Tested For STI"&amp;CHAR(10),""),IF(E279&gt;E278," * Screened For STI for Age "&amp;D20&amp;" "&amp;E21&amp;" is more than Tested For STI"&amp;CHAR(10),""),IF(F279&gt;F278," * Screened For STI for Age "&amp;F20&amp;" "&amp;F21&amp;" is more than Tested For STI"&amp;CHAR(10),""),IF(G279&gt;G278," * Screened For STI for Age "&amp;F20&amp;" "&amp;G21&amp;" is more than Tested For STI"&amp;CHAR(10),""),IF(H279&gt;H278," * Screened For STI for Age "&amp;H20&amp;" "&amp;H21&amp;" is more than Tested For STI"&amp;CHAR(10),""),IF(I279&gt;I278," * Screened For STI for Age "&amp;H20&amp;" "&amp;I21&amp;" is more than Tested For STI"&amp;CHAR(10),""),IF(J279&gt;J278," * Screened For STI for Age "&amp;J20&amp;" "&amp;J21&amp;" is more than Tested For STI"&amp;CHAR(10),""),IF(K279&gt;K278," * Screened For STI for Age "&amp;J20&amp;" "&amp;K21&amp;" is more than Tested For STI"&amp;CHAR(10),""),IF(L279&gt;L278," * Screened For STI for Age "&amp;L20&amp;" "&amp;L21&amp;" is more than Tested For STI"&amp;CHAR(10),""),IF(M279&gt;M278," * Screened For STI for Age "&amp;L20&amp;" "&amp;M21&amp;" is more than Tested For STI"&amp;CHAR(10),""),IF(N279&gt;N278," * Screened For STI for Age "&amp;N20&amp;" "&amp;N21&amp;" is more than Tested For STI"&amp;CHAR(10),""),IF(O279&gt;O278," * Screened For STI for Age "&amp;N20&amp;" "&amp;O21&amp;" is more than Tested For STI"&amp;CHAR(10),""),IF(P279&gt;P278," * Screened For STI for Age "&amp;P20&amp;" "&amp;P21&amp;" is more than Tested For STI"&amp;CHAR(10),""),IF(Q279&gt;Q278," * Screened For STI for Age "&amp;P20&amp;" "&amp;Q21&amp;" is more than Tested For STI"&amp;CHAR(10),""),IF(R279&gt;R278," * Screened For STI for Age "&amp;R20&amp;" "&amp;R21&amp;" is more than Tested For STI"&amp;CHAR(10),""),IF(S279&gt;S278," * Screened For STI for Age "&amp;R20&amp;" "&amp;S21&amp;" is more than Tested For STI"&amp;CHAR(10),""),IF(T279&gt;T278," * Screened For STI for Age "&amp;T20&amp;" "&amp;T21&amp;" is more than Tested For STI"&amp;CHAR(10),""),IF(U279&gt;U278," * Screened For STI for Age "&amp;T20&amp;" "&amp;U21&amp;" is more than Tested For STI"&amp;CHAR(10),""),IF(V279&gt;V278," * Screened For STI for Age "&amp;V20&amp;" "&amp;V21&amp;" is more than Tested For STI"&amp;CHAR(10),""),IF(W279&gt;W278," * Screened For STI for Age "&amp;V20&amp;" "&amp;W21&amp;" is more than Tested For STI"&amp;CHAR(10),""),IF(X279&gt;X278," * Screened For STI for Age "&amp;X20&amp;" "&amp;X21&amp;" is more than Tested For STI"&amp;CHAR(10),""),IF(Y279&gt;Y278," * Screened For STI for Age "&amp;X20&amp;" "&amp;Y21&amp;" is more than Tested For STI"&amp;CHAR(10),""),IF(Z279&gt;Z278," * Screened For STI for Age "&amp;Z20&amp;" "&amp;Z21&amp;" is more than Tested For STI"&amp;CHAR(10),""),IF(AA279&gt;AA278," * Screened For STI for Age "&amp;AA20&amp;" "&amp;AA21&amp;" is more than Tested For STI"&amp;CHAR(10),""))</f>
        <v/>
      </c>
      <c r="AL279" s="1142"/>
      <c r="AM279" s="31"/>
      <c r="AN279" s="1130"/>
      <c r="AO279" s="13">
        <v>183</v>
      </c>
      <c r="AP279" s="74"/>
      <c r="AQ279" s="149"/>
    </row>
    <row r="280" spans="1:43" s="14" customFormat="1" ht="26.25" x14ac:dyDescent="0.4">
      <c r="A280" s="1192"/>
      <c r="B280" s="198" t="s">
        <v>642</v>
      </c>
      <c r="C280" s="559" t="s">
        <v>236</v>
      </c>
      <c r="D280" s="201"/>
      <c r="E280" s="129"/>
      <c r="F280" s="129"/>
      <c r="G280" s="129"/>
      <c r="H280" s="129"/>
      <c r="I280" s="129"/>
      <c r="J280" s="129"/>
      <c r="K280" s="129"/>
      <c r="L280" s="129"/>
      <c r="M280" s="129"/>
      <c r="N280" s="129"/>
      <c r="O280" s="129"/>
      <c r="P280" s="129"/>
      <c r="Q280" s="129"/>
      <c r="R280" s="129"/>
      <c r="S280" s="129"/>
      <c r="T280" s="129"/>
      <c r="U280" s="129"/>
      <c r="V280" s="129"/>
      <c r="W280" s="129"/>
      <c r="X280" s="129"/>
      <c r="Y280" s="129"/>
      <c r="Z280" s="129"/>
      <c r="AA280" s="320"/>
      <c r="AB280" s="375"/>
      <c r="AC280" s="345"/>
      <c r="AD280" s="345"/>
      <c r="AE280" s="345"/>
      <c r="AF280" s="345"/>
      <c r="AG280" s="345"/>
      <c r="AH280" s="345"/>
      <c r="AI280" s="302"/>
      <c r="AJ280" s="173">
        <f t="shared" si="134"/>
        <v>0</v>
      </c>
      <c r="AK280" s="130" t="str">
        <f>CONCATENATE(IF(D280&gt;D279," * F05-07 for Age "&amp;D20&amp;" "&amp;D21&amp;" is more than F05-06"&amp;CHAR(10),""),IF(E280&gt;E279," * F05-07 for Age "&amp;D20&amp;" "&amp;E21&amp;" is more than F05-06"&amp;CHAR(10),""),IF(F280&gt;F279," * F05-07 for Age "&amp;F20&amp;" "&amp;F21&amp;" is more than F05-06"&amp;CHAR(10),""),IF(G280&gt;G279," * F05-07 for Age "&amp;F20&amp;" "&amp;G21&amp;" is more than F05-06"&amp;CHAR(10),""),IF(H280&gt;H279," * F05-07 for Age "&amp;H20&amp;" "&amp;H21&amp;" is more than F05-06"&amp;CHAR(10),""),IF(I280&gt;I279," * F05-07 for Age "&amp;H20&amp;" "&amp;I21&amp;" is more than F05-06"&amp;CHAR(10),""),IF(J280&gt;J279," * F05-07 for Age "&amp;J20&amp;" "&amp;J21&amp;" is more than F05-06"&amp;CHAR(10),""),IF(K280&gt;K279," * F05-07 for Age "&amp;J20&amp;" "&amp;K21&amp;" is more than F05-06"&amp;CHAR(10),""),IF(L280&gt;L279," * F05-07 for Age "&amp;L20&amp;" "&amp;L21&amp;" is more than F05-06"&amp;CHAR(10),""),IF(M280&gt;M279," * F05-07 for Age "&amp;L20&amp;" "&amp;M21&amp;" is more than F05-06"&amp;CHAR(10),""),IF(N280&gt;N279," * F05-07 for Age "&amp;N20&amp;" "&amp;N21&amp;" is more than F05-06"&amp;CHAR(10),""),IF(O280&gt;O279," * F05-07 for Age "&amp;N20&amp;" "&amp;O21&amp;" is more than F05-06"&amp;CHAR(10),""),IF(P280&gt;P279," * F05-07 for Age "&amp;P20&amp;" "&amp;P21&amp;" is more than F05-06"&amp;CHAR(10),""),IF(Q280&gt;Q279," * F05-07 for Age "&amp;P20&amp;" "&amp;Q21&amp;" is more than F05-06"&amp;CHAR(10),""),IF(R280&gt;R279," * F05-07 for Age "&amp;R20&amp;" "&amp;R21&amp;" is more than F05-06"&amp;CHAR(10),""),IF(S280&gt;S279," * F05-07 for Age "&amp;R20&amp;" "&amp;S21&amp;" is more than F05-06"&amp;CHAR(10),""),IF(T280&gt;T279," * F05-07 for Age "&amp;T20&amp;" "&amp;T21&amp;" is more than F05-06"&amp;CHAR(10),""),IF(U280&gt;U279," * F05-07 for Age "&amp;T20&amp;" "&amp;U21&amp;" is more than F05-06"&amp;CHAR(10),""),IF(V280&gt;V279," * F05-07 for Age "&amp;V20&amp;" "&amp;V21&amp;" is more than F05-06"&amp;CHAR(10),""),IF(W280&gt;W279," * F05-07 for Age "&amp;V20&amp;" "&amp;W21&amp;" is more than F05-06"&amp;CHAR(10),""),IF(X280&gt;X279," * F05-07 for Age "&amp;X20&amp;" "&amp;X21&amp;" is more than F05-06"&amp;CHAR(10),""),IF(Y280&gt;Y279," * F05-07 for Age "&amp;X20&amp;" "&amp;Y21&amp;" is more than F05-06"&amp;CHAR(10),""),IF(Z280&gt;Z279," * F05-07 for Age "&amp;Z20&amp;" "&amp;Z21&amp;" is more than F05-06"&amp;CHAR(10),""),IF(AA280&gt;AA279," * F05-07 for Age "&amp;Z20&amp;" "&amp;AA21&amp;" is more than F05-06"&amp;CHAR(10),""),IF(AJ280&gt;AJ279," * Total F05-07 is more than Total F05-06"&amp;CHAR(10),""))</f>
        <v/>
      </c>
      <c r="AL280" s="1142"/>
      <c r="AM280" s="31"/>
      <c r="AN280" s="1130"/>
      <c r="AO280" s="13">
        <v>184</v>
      </c>
      <c r="AP280" s="74"/>
      <c r="AQ280" s="149"/>
    </row>
    <row r="281" spans="1:43" s="14" customFormat="1" ht="26.25" x14ac:dyDescent="0.4">
      <c r="A281" s="1192"/>
      <c r="B281" s="198" t="s">
        <v>643</v>
      </c>
      <c r="C281" s="559" t="s">
        <v>237</v>
      </c>
      <c r="D281" s="120"/>
      <c r="E281" s="120"/>
      <c r="F281" s="120"/>
      <c r="G281" s="120"/>
      <c r="H281" s="120"/>
      <c r="I281" s="120"/>
      <c r="J281" s="120"/>
      <c r="K281" s="200"/>
      <c r="L281" s="120"/>
      <c r="M281" s="200"/>
      <c r="N281" s="120"/>
      <c r="O281" s="200"/>
      <c r="P281" s="120"/>
      <c r="Q281" s="200"/>
      <c r="R281" s="120"/>
      <c r="S281" s="200"/>
      <c r="T281" s="120"/>
      <c r="U281" s="200"/>
      <c r="V281" s="120"/>
      <c r="W281" s="200"/>
      <c r="X281" s="120"/>
      <c r="Y281" s="200"/>
      <c r="Z281" s="120"/>
      <c r="AA281" s="339"/>
      <c r="AB281" s="375"/>
      <c r="AC281" s="345"/>
      <c r="AD281" s="345"/>
      <c r="AE281" s="345"/>
      <c r="AF281" s="345"/>
      <c r="AG281" s="345"/>
      <c r="AH281" s="345"/>
      <c r="AI281" s="302"/>
      <c r="AJ281" s="173">
        <f t="shared" si="134"/>
        <v>0</v>
      </c>
      <c r="AK281" s="130" t="str">
        <f>CONCATENATE(IF(D281&gt;D274," * Given Emergency Contraceptive Pill for Age "&amp;D20&amp;" "&amp;D21&amp;" is more than Sexual Violence Rape Survivors"&amp;CHAR(10),""),IF(E281&gt;E274," * Given Emergency Contraceptive Pill for Age "&amp;D20&amp;" "&amp;E21&amp;" is more than Sexual Violence Rape Survivors"&amp;CHAR(10),""),IF(F281&gt;F274," * Given Emergency Contraceptive Pill for Age "&amp;F20&amp;" "&amp;F21&amp;" is more than Sexual Violence Rape Survivors"&amp;CHAR(10),""),IF(G281&gt;G274," * Given Emergency Contraceptive Pill for Age "&amp;F20&amp;" "&amp;G21&amp;" is more than Sexual Violence Rape Survivors"&amp;CHAR(10),""),IF(H281&gt;H274," * Given Emergency Contraceptive Pill for Age "&amp;H20&amp;" "&amp;H21&amp;" is more than Sexual Violence Rape Survivors"&amp;CHAR(10),""),IF(I281&gt;I274," * Given Emergency Contraceptive Pill for Age "&amp;H20&amp;" "&amp;I21&amp;" is more than Sexual Violence Rape Survivors"&amp;CHAR(10),""),IF(J281&gt;J274," * Given Emergency Contraceptive Pill for Age "&amp;J20&amp;" "&amp;J21&amp;" is more than Sexual Violence Rape Survivors"&amp;CHAR(10),""),IF(K281&gt;K274," * Given Emergency Contraceptive Pill for Age "&amp;J20&amp;" "&amp;K21&amp;" is more than Sexual Violence Rape Survivors"&amp;CHAR(10),""),IF(L281&gt;L274," * Given Emergency Contraceptive Pill for Age "&amp;L20&amp;" "&amp;L21&amp;" is more than Sexual Violence Rape Survivors"&amp;CHAR(10),""),IF(M281&gt;M274," * Given Emergency Contraceptive Pill for Age "&amp;L20&amp;" "&amp;M21&amp;" is more than Sexual Violence Rape Survivors"&amp;CHAR(10),""),IF(N281&gt;N274," * Given Emergency Contraceptive Pill for Age "&amp;N20&amp;" "&amp;N21&amp;" is more than Sexual Violence Rape Survivors"&amp;CHAR(10),""),IF(O281&gt;O274," * Given Emergency Contraceptive Pill for Age "&amp;N20&amp;" "&amp;O21&amp;" is more than Sexual Violence Rape Survivors"&amp;CHAR(10),""),IF(P281&gt;P274," * Given Emergency Contraceptive Pill for Age "&amp;P20&amp;" "&amp;P21&amp;" is more than Sexual Violence Rape Survivors"&amp;CHAR(10),""),IF(Q281&gt;Q274," * Given Emergency Contraceptive Pill for Age "&amp;P20&amp;" "&amp;Q21&amp;" is more than Sexual Violence Rape Survivors"&amp;CHAR(10),""),IF(R281&gt;R274," * Given Emergency Contraceptive Pill for Age "&amp;R20&amp;" "&amp;R21&amp;" is more than Sexual Violence Rape Survivors"&amp;CHAR(10),""),IF(S281&gt;S274," * Given Emergency Contraceptive Pill for Age "&amp;R20&amp;" "&amp;S21&amp;" is more than Sexual Violence Rape Survivors"&amp;CHAR(10),""),IF(T281&gt;T274," * Given Emergency Contraceptive Pill for Age "&amp;T20&amp;" "&amp;T21&amp;" is more than Sexual Violence Rape Survivors"&amp;CHAR(10),""),IF(U281&gt;U274," * Given Emergency Contraceptive Pill for Age "&amp;T20&amp;" "&amp;U21&amp;" is more than Sexual Violence Rape Survivors"&amp;CHAR(10),""),IF(V281&gt;V274," * Given Emergency Contraceptive Pill for Age "&amp;V20&amp;" "&amp;V21&amp;" is more than Sexual Violence Rape Survivors"&amp;CHAR(10),""),IF(W281&gt;W274," * Given Emergency Contraceptive Pill for Age "&amp;V20&amp;" "&amp;W21&amp;" is more than Sexual Violence Rape Survivors"&amp;CHAR(10),""),IF(X281&gt;X274," * Given Emergency Contraceptive Pill for Age "&amp;X20&amp;" "&amp;X21&amp;" is more than Sexual Violence Rape Survivors"&amp;CHAR(10),""),IF(Y281&gt;Y274," * Given Emergency Contraceptive Pill for Age "&amp;X20&amp;" "&amp;Y21&amp;" is more than Sexual Violence Rape Survivors"&amp;CHAR(10),""),IF(Z281&gt;Z274," * Given Emergency Contraceptive Pill for Age "&amp;Z20&amp;" "&amp;Z21&amp;" is more than Sexual Violence Rape Survivors"&amp;CHAR(10),""),IF(AA281&gt;AA274," * Given Emergency Contraceptive Pill for Age "&amp;Z20&amp;" "&amp;AA21&amp;" is more than Sexual Violence Rape Survivors"&amp;CHAR(10),""))</f>
        <v/>
      </c>
      <c r="AL281" s="1142"/>
      <c r="AM281" s="31"/>
      <c r="AN281" s="1130"/>
      <c r="AO281" s="13">
        <v>185</v>
      </c>
      <c r="AP281" s="74"/>
      <c r="AQ281" s="149"/>
    </row>
    <row r="282" spans="1:43" s="14" customFormat="1" ht="26.25" x14ac:dyDescent="0.4">
      <c r="A282" s="1192"/>
      <c r="B282" s="198" t="s">
        <v>644</v>
      </c>
      <c r="C282" s="559" t="s">
        <v>238</v>
      </c>
      <c r="D282" s="120"/>
      <c r="E282" s="120"/>
      <c r="F282" s="120"/>
      <c r="G282" s="120"/>
      <c r="H282" s="120"/>
      <c r="I282" s="120"/>
      <c r="J282" s="120"/>
      <c r="K282" s="201"/>
      <c r="L282" s="120"/>
      <c r="M282" s="201"/>
      <c r="N282" s="120"/>
      <c r="O282" s="201"/>
      <c r="P282" s="120"/>
      <c r="Q282" s="201"/>
      <c r="R282" s="120"/>
      <c r="S282" s="201"/>
      <c r="T282" s="120"/>
      <c r="U282" s="201"/>
      <c r="V282" s="120"/>
      <c r="W282" s="201"/>
      <c r="X282" s="120"/>
      <c r="Y282" s="201"/>
      <c r="Z282" s="120"/>
      <c r="AA282" s="340"/>
      <c r="AB282" s="375"/>
      <c r="AC282" s="345"/>
      <c r="AD282" s="345"/>
      <c r="AE282" s="345"/>
      <c r="AF282" s="345"/>
      <c r="AG282" s="345"/>
      <c r="AH282" s="345"/>
      <c r="AI282" s="302"/>
      <c r="AJ282" s="173">
        <f t="shared" si="134"/>
        <v>0</v>
      </c>
      <c r="AK282" s="130" t="str">
        <f>CONCATENATE(IF(D282&gt;D281," * Given Emergency Contraceptive Pill for Age "&amp;D20&amp;" "&amp;D21&amp;" is more than Eligible for Emergency Contraceptive Pill"&amp;CHAR(10),""),IF(E282&gt;E281," * Given Emergency Contraceptive Pill for Age "&amp;D20&amp;" "&amp;E21&amp;" is more than Eligible for Emergency Contraceptive Pill"&amp;CHAR(10),""),IF(F282&gt;F281," * Given Emergency Contraceptive Pill for Age "&amp;F20&amp;" "&amp;F21&amp;" is more than Eligible for Emergency Contraceptive Pill"&amp;CHAR(10),""),IF(G282&gt;G281," * Given Emergency Contraceptive Pill for Age "&amp;F20&amp;" "&amp;G21&amp;" is more than Eligible for Emergency Contraceptive Pill"&amp;CHAR(10),""),IF(H282&gt;H281," * Given Emergency Contraceptive Pill for Age "&amp;H20&amp;" "&amp;H21&amp;" is more than Eligible for Emergency Contraceptive Pill"&amp;CHAR(10),""),IF(I282&gt;I281," * Given Emergency Contraceptive Pill for Age "&amp;H20&amp;" "&amp;I21&amp;" is more than Eligible for Emergency Contraceptive Pill"&amp;CHAR(10),""),IF(J282&gt;J281," * Given Emergency Contraceptive Pill for Age "&amp;J20&amp;" "&amp;J21&amp;" is more than Eligible for Emergency Contraceptive Pill"&amp;CHAR(10),""),IF(K282&gt;K281," * Given Emergency Contraceptive Pill for Age "&amp;J20&amp;" "&amp;K21&amp;" is more than Eligible for Emergency Contraceptive Pill"&amp;CHAR(10),""),IF(L282&gt;L281," * Given Emergency Contraceptive Pill for Age "&amp;L20&amp;" "&amp;L21&amp;" is more than Eligible for Emergency Contraceptive Pill"&amp;CHAR(10),""),IF(M282&gt;M281," * Given Emergency Contraceptive Pill for Age "&amp;L20&amp;" "&amp;M21&amp;" is more than Eligible for Emergency Contraceptive Pill"&amp;CHAR(10),""),IF(N282&gt;N281," * Given Emergency Contraceptive Pill for Age "&amp;N20&amp;" "&amp;N21&amp;" is more than Eligible for Emergency Contraceptive Pill"&amp;CHAR(10),""),IF(O282&gt;O281," * Given Emergency Contraceptive Pill for Age "&amp;N20&amp;" "&amp;O21&amp;" is more than Eligible for Emergency Contraceptive Pill"&amp;CHAR(10),""),IF(P282&gt;P281," * Given Emergency Contraceptive Pill for Age "&amp;P20&amp;" "&amp;P21&amp;" is more than Eligible for Emergency Contraceptive Pill"&amp;CHAR(10),""),IF(Q282&gt;Q281," * Given Emergency Contraceptive Pill for Age "&amp;P20&amp;" "&amp;Q21&amp;" is more than Eligible for Emergency Contraceptive Pill"&amp;CHAR(10),""),IF(R282&gt;R281," * Given Emergency Contraceptive Pill for Age "&amp;R20&amp;" "&amp;R21&amp;" is more than Eligible for Emergency Contraceptive Pill"&amp;CHAR(10),""),IF(S282&gt;S281," * Given Emergency Contraceptive Pill for Age "&amp;R20&amp;" "&amp;S21&amp;" is more than Eligible for Emergency Contraceptive Pill"&amp;CHAR(10),""),IF(T282&gt;T281," * Given Emergency Contraceptive Pill for Age "&amp;T20&amp;" "&amp;T21&amp;" is more than Eligible for Emergency Contraceptive Pill"&amp;CHAR(10),""),IF(U282&gt;U281," * Given Emergency Contraceptive Pill for Age "&amp;T20&amp;" "&amp;U21&amp;" is more than Eligible for Emergency Contraceptive Pill"&amp;CHAR(10),""),IF(V282&gt;V281," * Given Emergency Contraceptive Pill for Age "&amp;V20&amp;" "&amp;V21&amp;" is more than Eligible for Emergency Contraceptive Pill"&amp;CHAR(10),""),IF(W282&gt;W281," * Given Emergency Contraceptive Pill for Age "&amp;V20&amp;" "&amp;W21&amp;" is more than Eligible for Emergency Contraceptive Pill"&amp;CHAR(10),""),IF(X282&gt;X281," * Given Emergency Contraceptive Pill for Age "&amp;X20&amp;" "&amp;X21&amp;" is more than Eligible for Emergency Contraceptive Pill"&amp;CHAR(10),""),IF(Y282&gt;Y281," * Given Emergency Contraceptive Pill for Age "&amp;X20&amp;" "&amp;Y21&amp;" is more than Eligible for Emergency Contraceptive Pill"&amp;CHAR(10),""),IF(Z282&gt;Z281," * Given Emergency Contraceptive Pill for Age "&amp;Z20&amp;" "&amp;Z21&amp;" is more than Eligible for Emergency Contraceptive Pill"&amp;CHAR(10),""),IF(AA282&gt;AA281," * Given Emergency Contraceptive Pill for Age "&amp;Z20&amp;" "&amp;AA21&amp;" is more than Eligible for Emergency Contraceptive Pill"&amp;CHAR(10),""))</f>
        <v/>
      </c>
      <c r="AL282" s="1142"/>
      <c r="AM282" s="31"/>
      <c r="AN282" s="1130"/>
      <c r="AO282" s="13">
        <v>186</v>
      </c>
      <c r="AP282" s="74"/>
      <c r="AQ282" s="149"/>
    </row>
    <row r="283" spans="1:43" s="14" customFormat="1" ht="26.25" x14ac:dyDescent="0.4">
      <c r="A283" s="1192"/>
      <c r="B283" s="198" t="s">
        <v>645</v>
      </c>
      <c r="C283" s="559" t="s">
        <v>239</v>
      </c>
      <c r="D283" s="199"/>
      <c r="E283" s="200"/>
      <c r="F283" s="200"/>
      <c r="G283" s="200"/>
      <c r="H283" s="200"/>
      <c r="I283" s="200"/>
      <c r="J283" s="200"/>
      <c r="K283" s="200"/>
      <c r="L283" s="200"/>
      <c r="M283" s="200"/>
      <c r="N283" s="200"/>
      <c r="O283" s="200"/>
      <c r="P283" s="200"/>
      <c r="Q283" s="200"/>
      <c r="R283" s="200"/>
      <c r="S283" s="200"/>
      <c r="T283" s="200"/>
      <c r="U283" s="200"/>
      <c r="V283" s="200"/>
      <c r="W283" s="200"/>
      <c r="X283" s="200"/>
      <c r="Y283" s="200"/>
      <c r="Z283" s="200"/>
      <c r="AA283" s="339"/>
      <c r="AB283" s="375"/>
      <c r="AC283" s="345"/>
      <c r="AD283" s="345"/>
      <c r="AE283" s="345"/>
      <c r="AF283" s="345"/>
      <c r="AG283" s="345"/>
      <c r="AH283" s="345"/>
      <c r="AI283" s="302"/>
      <c r="AJ283" s="173">
        <f t="shared" si="134"/>
        <v>0</v>
      </c>
      <c r="AK283" s="1188" t="str">
        <f>CONCATENATE(IF(D284&gt;D283," * F05-11 for Age "&amp;D20&amp;" "&amp;D21&amp;" is more than F05-10"&amp;CHAR(10),""),IF(E284&gt;E283," * F05-11 for Age "&amp;D20&amp;" "&amp;E21&amp;" is more than F05-10"&amp;CHAR(10),""),IF(F284&gt;F283," * F05-11 for Age "&amp;F20&amp;" "&amp;F21&amp;" is more than F05-10"&amp;CHAR(10),""),IF(G284&gt;G283," * F05-11 for Age "&amp;F20&amp;" "&amp;G21&amp;" is more than F05-10"&amp;CHAR(10),""),IF(H284&gt;H283," * F05-11 for Age "&amp;H20&amp;" "&amp;H21&amp;" is more than F05-10"&amp;CHAR(10),""),IF(I284&gt;I283," * F05-11 for Age "&amp;H20&amp;" "&amp;I21&amp;" is more than F05-10"&amp;CHAR(10),""),IF(J284&gt;J283," * F05-11 for Age "&amp;J20&amp;" "&amp;J21&amp;" is more than F05-10"&amp;CHAR(10),""),IF(K284&gt;K283," * F05-11 for Age "&amp;J20&amp;" "&amp;K21&amp;" is more than F05-10"&amp;CHAR(10),""),IF(L284&gt;L283," * F05-11 for Age "&amp;L20&amp;" "&amp;L21&amp;" is more than F05-10"&amp;CHAR(10),""),IF(M284&gt;M283," * F05-11 for Age "&amp;L20&amp;" "&amp;M21&amp;" is more than F05-10"&amp;CHAR(10),""),IF(N284&gt;N283," * F05-11 for Age "&amp;N20&amp;" "&amp;N21&amp;" is more than F05-10"&amp;CHAR(10),""),IF(O284&gt;O283," * F05-11 for Age "&amp;N20&amp;" "&amp;O21&amp;" is more than F05-10"&amp;CHAR(10),""),IF(P284&gt;P283," * F05-11 for Age "&amp;P20&amp;" "&amp;P21&amp;" is more than F05-10"&amp;CHAR(10),""),IF(Q284&gt;Q283," * F05-11 for Age "&amp;P20&amp;" "&amp;Q21&amp;" is more than F05-10"&amp;CHAR(10),""),IF(R284&gt;R283," * F05-11 for Age "&amp;R20&amp;" "&amp;R21&amp;" is more than F05-10"&amp;CHAR(10),""),IF(S284&gt;S283," * F05-11 for Age "&amp;R20&amp;" "&amp;S21&amp;" is more than F05-10"&amp;CHAR(10),""),IF(T284&gt;T283," * F05-11 for Age "&amp;T20&amp;" "&amp;T21&amp;" is more than F05-10"&amp;CHAR(10),""),IF(U284&gt;U283," * F05-11 for Age "&amp;T20&amp;" "&amp;U21&amp;" is more than F05-10"&amp;CHAR(10),""),IF(V284&gt;V283," * F05-11 for Age "&amp;V20&amp;" "&amp;V21&amp;" is more than F05-10"&amp;CHAR(10),""),IF(W284&gt;W283," * F05-11 for Age "&amp;V20&amp;" "&amp;W21&amp;" is more than F05-10"&amp;CHAR(10),""),IF(X284&gt;X283," * F05-11 for Age "&amp;X20&amp;" "&amp;X21&amp;" is more than F05-10"&amp;CHAR(10),""),IF(Y284&gt;Y283," * F05-11 for Age "&amp;X20&amp;" "&amp;Y21&amp;" is more than F05-10"&amp;CHAR(10),""),IF(Z284&gt;Z283," * F05-11 for Age "&amp;Z20&amp;" "&amp;Z21&amp;" is more than F05-10"&amp;CHAR(10),""),IF(AA284&gt;AA283," * F05-11 for Age "&amp;Z20&amp;" "&amp;AA21&amp;" is more than F05-10"&amp;CHAR(10),""),IF(AJ284&gt;AJ283," * Total F05-11 is more than Total F05-10"&amp;CHAR(10),""))</f>
        <v/>
      </c>
      <c r="AL283" s="1142"/>
      <c r="AM283" s="31"/>
      <c r="AN283" s="1130"/>
      <c r="AO283" s="13">
        <v>187</v>
      </c>
      <c r="AP283" s="74"/>
      <c r="AQ283" s="149"/>
    </row>
    <row r="284" spans="1:43" s="14" customFormat="1" ht="30" thickBot="1" x14ac:dyDescent="0.45">
      <c r="A284" s="1193"/>
      <c r="B284" s="202" t="s">
        <v>949</v>
      </c>
      <c r="C284" s="560" t="s">
        <v>240</v>
      </c>
      <c r="D284" s="151"/>
      <c r="E284" s="151"/>
      <c r="F284" s="151"/>
      <c r="G284" s="151"/>
      <c r="H284" s="151"/>
      <c r="I284" s="151"/>
      <c r="J284" s="151"/>
      <c r="K284" s="151"/>
      <c r="L284" s="151"/>
      <c r="M284" s="151"/>
      <c r="N284" s="151"/>
      <c r="O284" s="151"/>
      <c r="P284" s="151"/>
      <c r="Q284" s="151"/>
      <c r="R284" s="151"/>
      <c r="S284" s="151"/>
      <c r="T284" s="151"/>
      <c r="U284" s="151"/>
      <c r="V284" s="151"/>
      <c r="W284" s="151"/>
      <c r="X284" s="151"/>
      <c r="Y284" s="151"/>
      <c r="Z284" s="151"/>
      <c r="AA284" s="341"/>
      <c r="AB284" s="375"/>
      <c r="AC284" s="345"/>
      <c r="AD284" s="345"/>
      <c r="AE284" s="345"/>
      <c r="AF284" s="345"/>
      <c r="AG284" s="345"/>
      <c r="AH284" s="345"/>
      <c r="AI284" s="302"/>
      <c r="AJ284" s="192">
        <f t="shared" si="134"/>
        <v>0</v>
      </c>
      <c r="AK284" s="1188"/>
      <c r="AL284" s="1142"/>
      <c r="AM284" s="31"/>
      <c r="AN284" s="1130"/>
      <c r="AO284" s="13">
        <v>188</v>
      </c>
      <c r="AP284" s="74"/>
      <c r="AQ284" s="149"/>
    </row>
    <row r="285" spans="1:43" s="14" customFormat="1" ht="26.25" x14ac:dyDescent="0.4">
      <c r="A285" s="1191" t="s">
        <v>99</v>
      </c>
      <c r="B285" s="136" t="s">
        <v>646</v>
      </c>
      <c r="C285" s="558" t="s">
        <v>241</v>
      </c>
      <c r="D285" s="142"/>
      <c r="E285" s="143"/>
      <c r="F285" s="143"/>
      <c r="G285" s="143"/>
      <c r="H285" s="143"/>
      <c r="I285" s="143"/>
      <c r="J285" s="143"/>
      <c r="K285" s="143"/>
      <c r="L285" s="143"/>
      <c r="M285" s="143"/>
      <c r="N285" s="143"/>
      <c r="O285" s="143"/>
      <c r="P285" s="143"/>
      <c r="Q285" s="143"/>
      <c r="R285" s="143"/>
      <c r="S285" s="143"/>
      <c r="T285" s="143"/>
      <c r="U285" s="143"/>
      <c r="V285" s="143"/>
      <c r="W285" s="143"/>
      <c r="X285" s="143"/>
      <c r="Y285" s="143"/>
      <c r="Z285" s="143"/>
      <c r="AA285" s="324"/>
      <c r="AB285" s="375"/>
      <c r="AC285" s="345"/>
      <c r="AD285" s="345"/>
      <c r="AE285" s="345"/>
      <c r="AF285" s="345"/>
      <c r="AG285" s="345"/>
      <c r="AH285" s="345"/>
      <c r="AI285" s="302"/>
      <c r="AJ285" s="188">
        <f t="shared" si="134"/>
        <v>0</v>
      </c>
      <c r="AK285" s="1188" t="str">
        <f>CONCATENATE(IF(D286&gt;D285," * F05-13 for Age "&amp;D20&amp;" "&amp;D21&amp;" is more than F05-12"&amp;CHAR(10),""),IF(E286&gt;E285," * F05-13 for Age "&amp;D20&amp;" "&amp;E21&amp;" is more than F05-12"&amp;CHAR(10),""),IF(F286&gt;F285," * F05-13 for Age "&amp;F20&amp;" "&amp;F21&amp;" is more than F05-12"&amp;CHAR(10),""),IF(G286&gt;G285," * F05-13 for Age "&amp;F20&amp;" "&amp;G21&amp;" is more than F05-12"&amp;CHAR(10),""),IF(H286&gt;H285," * F05-13 for Age "&amp;H20&amp;" "&amp;H21&amp;" is more than F05-12"&amp;CHAR(10),""),IF(I286&gt;I285," * F05-13 for Age "&amp;H20&amp;" "&amp;I21&amp;" is more than F05-12"&amp;CHAR(10),""),IF(J286&gt;J285," * F05-13 for Age "&amp;J20&amp;" "&amp;J21&amp;" is more than F05-12"&amp;CHAR(10),""),IF(K286&gt;K285," * F05-13 for Age "&amp;J20&amp;" "&amp;K21&amp;" is more than F05-12"&amp;CHAR(10),""),IF(L286&gt;L285," * F05-13 for Age "&amp;L20&amp;" "&amp;L21&amp;" is more than F05-12"&amp;CHAR(10),""),IF(M286&gt;M285," * F05-13 for Age "&amp;L20&amp;" "&amp;M21&amp;" is more than F05-12"&amp;CHAR(10),""),IF(N286&gt;N285," * F05-13 for Age "&amp;N20&amp;" "&amp;N21&amp;" is more than F05-12"&amp;CHAR(10),""),IF(O286&gt;O285," * F05-13 for Age "&amp;N20&amp;" "&amp;O21&amp;" is more than F05-12"&amp;CHAR(10),""),IF(P286&gt;P285," * F05-13 for Age "&amp;P20&amp;" "&amp;P21&amp;" is more than F05-12"&amp;CHAR(10),""),IF(Q286&gt;Q285," * F05-13 for Age "&amp;P20&amp;" "&amp;Q21&amp;" is more than F05-12"&amp;CHAR(10),""),IF(R286&gt;R285," * F05-13 for Age "&amp;R20&amp;" "&amp;R21&amp;" is more than F05-12"&amp;CHAR(10),""),IF(S286&gt;S285," * F05-13 for Age "&amp;R20&amp;" "&amp;S21&amp;" is more than F05-12"&amp;CHAR(10),""),IF(T286&gt;T285," * F05-13 for Age "&amp;T20&amp;" "&amp;T21&amp;" is more than F05-12"&amp;CHAR(10),""),IF(U286&gt;U285," * F05-13 for Age "&amp;T20&amp;" "&amp;U21&amp;" is more than F05-12"&amp;CHAR(10),""),IF(V286&gt;V285," * F05-13 for Age "&amp;V20&amp;" "&amp;V21&amp;" is more than F05-12"&amp;CHAR(10),""),IF(W286&gt;W285," * F05-13 for Age "&amp;V20&amp;" "&amp;W21&amp;" is more than F05-12"&amp;CHAR(10),""),IF(X286&gt;X285," * F05-13 for Age "&amp;X20&amp;" "&amp;X21&amp;" is more than F05-12"&amp;CHAR(10),""),IF(Y286&gt;Y285," * F05-13 for Age "&amp;X20&amp;" "&amp;Y21&amp;" is more than F05-12"&amp;CHAR(10),""),IF(Z286&gt;Z285," * F05-13 for Age "&amp;Z20&amp;" "&amp;Z21&amp;" is more than F05-12"&amp;CHAR(10),""),IF(AA286&gt;AA285," * F05-13 for Age "&amp;Z20&amp;" "&amp;AA21&amp;" is more than F05-12"&amp;CHAR(10),""),IF(AJ286&gt;AJ285," * Total F05-13 is more than Total F05-12"&amp;CHAR(10),""))</f>
        <v/>
      </c>
      <c r="AL285" s="1142"/>
      <c r="AM285" s="31"/>
      <c r="AN285" s="1130"/>
      <c r="AO285" s="13">
        <v>189</v>
      </c>
      <c r="AP285" s="74"/>
      <c r="AQ285" s="149"/>
    </row>
    <row r="286" spans="1:43" s="14" customFormat="1" ht="26.25" x14ac:dyDescent="0.4">
      <c r="A286" s="1192"/>
      <c r="B286" s="198" t="s">
        <v>647</v>
      </c>
      <c r="C286" s="559" t="s">
        <v>242</v>
      </c>
      <c r="D286" s="199"/>
      <c r="E286" s="200"/>
      <c r="F286" s="200"/>
      <c r="G286" s="200"/>
      <c r="H286" s="200"/>
      <c r="I286" s="200"/>
      <c r="J286" s="200"/>
      <c r="K286" s="200"/>
      <c r="L286" s="200"/>
      <c r="M286" s="200"/>
      <c r="N286" s="200"/>
      <c r="O286" s="200"/>
      <c r="P286" s="200"/>
      <c r="Q286" s="200"/>
      <c r="R286" s="200"/>
      <c r="S286" s="200"/>
      <c r="T286" s="200"/>
      <c r="U286" s="200"/>
      <c r="V286" s="200"/>
      <c r="W286" s="200"/>
      <c r="X286" s="200"/>
      <c r="Y286" s="200"/>
      <c r="Z286" s="200"/>
      <c r="AA286" s="339"/>
      <c r="AB286" s="375"/>
      <c r="AC286" s="345"/>
      <c r="AD286" s="345"/>
      <c r="AE286" s="345"/>
      <c r="AF286" s="345"/>
      <c r="AG286" s="345"/>
      <c r="AH286" s="345"/>
      <c r="AI286" s="302"/>
      <c r="AJ286" s="173">
        <f t="shared" si="134"/>
        <v>0</v>
      </c>
      <c r="AK286" s="1188"/>
      <c r="AL286" s="1142"/>
      <c r="AM286" s="31"/>
      <c r="AN286" s="1130"/>
      <c r="AO286" s="13">
        <v>190</v>
      </c>
      <c r="AP286" s="74"/>
      <c r="AQ286" s="149"/>
    </row>
    <row r="287" spans="1:43" s="14" customFormat="1" ht="26.25" x14ac:dyDescent="0.4">
      <c r="A287" s="1192"/>
      <c r="B287" s="198" t="s">
        <v>648</v>
      </c>
      <c r="C287" s="559" t="s">
        <v>299</v>
      </c>
      <c r="D287" s="201"/>
      <c r="E287" s="129"/>
      <c r="F287" s="129"/>
      <c r="G287" s="129"/>
      <c r="H287" s="129"/>
      <c r="I287" s="129"/>
      <c r="J287" s="129"/>
      <c r="K287" s="129"/>
      <c r="L287" s="129"/>
      <c r="M287" s="129"/>
      <c r="N287" s="129"/>
      <c r="O287" s="129"/>
      <c r="P287" s="129"/>
      <c r="Q287" s="129"/>
      <c r="R287" s="129"/>
      <c r="S287" s="129"/>
      <c r="T287" s="129"/>
      <c r="U287" s="129"/>
      <c r="V287" s="129"/>
      <c r="W287" s="129"/>
      <c r="X287" s="129"/>
      <c r="Y287" s="129"/>
      <c r="Z287" s="129"/>
      <c r="AA287" s="320"/>
      <c r="AB287" s="375"/>
      <c r="AC287" s="345"/>
      <c r="AD287" s="345"/>
      <c r="AE287" s="345"/>
      <c r="AF287" s="345"/>
      <c r="AG287" s="345"/>
      <c r="AH287" s="345"/>
      <c r="AI287" s="302"/>
      <c r="AJ287" s="173">
        <f t="shared" si="134"/>
        <v>0</v>
      </c>
      <c r="AK287" s="116" t="str">
        <f>CONCATENATE(IF(D287&gt;D285," * F05-14 for Age "&amp;D20&amp;" "&amp;D21&amp;" is more than F05-12"&amp;CHAR(10),""),IF(E287&gt;E285," * F05-14 for Age "&amp;D20&amp;" "&amp;E21&amp;" is more than F05-12"&amp;CHAR(10),""),IF(F287&gt;F285," * F05-14 for Age "&amp;F20&amp;" "&amp;F21&amp;" is more than F05-12"&amp;CHAR(10),""),IF(G287&gt;G285," * F05-14 for Age "&amp;F20&amp;" "&amp;G21&amp;" is more than F05-12"&amp;CHAR(10),""),IF(H287&gt;H285," * F05-14 for Age "&amp;H20&amp;" "&amp;H21&amp;" is more than F05-12"&amp;CHAR(10),""),IF(I287&gt;I285," * F05-14 for Age "&amp;H20&amp;" "&amp;I21&amp;" is more than F05-12"&amp;CHAR(10),""),IF(J287&gt;J285," * F05-14 for Age "&amp;J20&amp;" "&amp;J21&amp;" is more than F05-12"&amp;CHAR(10),""),IF(K287&gt;K285," * F05-14 for Age "&amp;J20&amp;" "&amp;K21&amp;" is more than F05-12"&amp;CHAR(10),""),IF(L287&gt;L285," * F05-14 for Age "&amp;L20&amp;" "&amp;L21&amp;" is more than F05-12"&amp;CHAR(10),""),IF(M287&gt;M285," * F05-14 for Age "&amp;L20&amp;" "&amp;M21&amp;" is more than F05-12"&amp;CHAR(10),""),IF(N287&gt;N285," * F05-14 for Age "&amp;N20&amp;" "&amp;N21&amp;" is more than F05-12"&amp;CHAR(10),""),IF(O287&gt;O285," * F05-14 for Age "&amp;N20&amp;" "&amp;O21&amp;" is more than F05-12"&amp;CHAR(10),""),IF(P287&gt;P285," * F05-14 for Age "&amp;P20&amp;" "&amp;P21&amp;" is more than F05-12"&amp;CHAR(10),""),IF(Q287&gt;Q285," * F05-14 for Age "&amp;P20&amp;" "&amp;Q21&amp;" is more than F05-12"&amp;CHAR(10),""),IF(R287&gt;R285," * F05-14 for Age "&amp;R20&amp;" "&amp;R21&amp;" is more than F05-12"&amp;CHAR(10),""),IF(S287&gt;S285," * F05-14 for Age "&amp;R20&amp;" "&amp;S21&amp;" is more than F05-12"&amp;CHAR(10),""),IF(T287&gt;T285," * F05-14 for Age "&amp;T20&amp;" "&amp;T21&amp;" is more than F05-12"&amp;CHAR(10),""),IF(U287&gt;U285," * F05-14 for Age "&amp;T20&amp;" "&amp;U21&amp;" is more than F05-12"&amp;CHAR(10),""),IF(V287&gt;V285," * F05-14 for Age "&amp;V20&amp;" "&amp;V21&amp;" is more than F05-12"&amp;CHAR(10),""),IF(W287&gt;W285," * F05-14 for Age "&amp;V20&amp;" "&amp;W21&amp;" is more than F05-12"&amp;CHAR(10),""),IF(X287&gt;X285," * F05-14 for Age "&amp;X20&amp;" "&amp;X21&amp;" is more than F05-12"&amp;CHAR(10),""),IF(Y287&gt;Y285," * F05-14 for Age "&amp;X20&amp;" "&amp;Y21&amp;" is more than F05-12"&amp;CHAR(10),""),IF(Z287&gt;Z285," * F05-14 for Age "&amp;Z20&amp;" "&amp;Z21&amp;" is more than F05-12"&amp;CHAR(10),""),IF(AA287&gt;AA285," * F05-14 for Age "&amp;Z20&amp;" "&amp;AA21&amp;" is more than F05-12"&amp;CHAR(10),""),IF(AJ287&gt;AJ285," * Total F05-14 is more than Total F05-12"&amp;CHAR(10),""))</f>
        <v/>
      </c>
      <c r="AL287" s="1142"/>
      <c r="AM287" s="31"/>
      <c r="AN287" s="1130"/>
      <c r="AO287" s="13">
        <v>191</v>
      </c>
      <c r="AP287" s="74"/>
      <c r="AQ287" s="149"/>
    </row>
    <row r="288" spans="1:43" s="14" customFormat="1" ht="27" thickBot="1" x14ac:dyDescent="0.45">
      <c r="A288" s="1348"/>
      <c r="B288" s="137" t="s">
        <v>649</v>
      </c>
      <c r="C288" s="560" t="s">
        <v>300</v>
      </c>
      <c r="D288" s="133"/>
      <c r="E288" s="120"/>
      <c r="F288" s="120"/>
      <c r="G288" s="120"/>
      <c r="H288" s="120"/>
      <c r="I288" s="120"/>
      <c r="J288" s="120"/>
      <c r="K288" s="129"/>
      <c r="L288" s="120"/>
      <c r="M288" s="129"/>
      <c r="N288" s="120"/>
      <c r="O288" s="129"/>
      <c r="P288" s="120"/>
      <c r="Q288" s="129"/>
      <c r="R288" s="120"/>
      <c r="S288" s="129"/>
      <c r="T288" s="120"/>
      <c r="U288" s="129"/>
      <c r="V288" s="120"/>
      <c r="W288" s="129"/>
      <c r="X288" s="120"/>
      <c r="Y288" s="129"/>
      <c r="Z288" s="120"/>
      <c r="AA288" s="320"/>
      <c r="AB288" s="376"/>
      <c r="AC288" s="377"/>
      <c r="AD288" s="377"/>
      <c r="AE288" s="377"/>
      <c r="AF288" s="377"/>
      <c r="AG288" s="377"/>
      <c r="AH288" s="377"/>
      <c r="AI288" s="303"/>
      <c r="AJ288" s="380">
        <f t="shared" si="134"/>
        <v>0</v>
      </c>
      <c r="AK288" s="122" t="str">
        <f>CONCATENATE(IF(D288&gt;D285," * F05-15 for Age "&amp;D20&amp;" "&amp;D21&amp;" is more than F05-12"&amp;CHAR(10),""),IF(E288&gt;E285," * F05-15 for Age "&amp;D20&amp;" "&amp;E21&amp;" is more than F05-12"&amp;CHAR(10),""),IF(F288&gt;F285," * F05-15 for Age "&amp;F20&amp;" "&amp;F21&amp;" is more than F05-12"&amp;CHAR(10),""),IF(G288&gt;G285," * F05-15 for Age "&amp;F20&amp;" "&amp;G21&amp;" is more than F05-12"&amp;CHAR(10),""),IF(H288&gt;H285," * F05-15 for Age "&amp;H20&amp;" "&amp;H21&amp;" is more than F05-12"&amp;CHAR(10),""),IF(I288&gt;I285," * F05-15 for Age "&amp;H20&amp;" "&amp;I21&amp;" is more than F05-12"&amp;CHAR(10),""),IF(J288&gt;J285," * F05-15 for Age "&amp;J20&amp;" "&amp;J21&amp;" is more than F05-12"&amp;CHAR(10),""),IF(K288&gt;K285," * F05-15 for Age "&amp;J20&amp;" "&amp;K21&amp;" is more than F05-12"&amp;CHAR(10),""),IF(L288&gt;L285," * F05-15 for Age "&amp;L20&amp;" "&amp;L21&amp;" is more than F05-12"&amp;CHAR(10),""),IF(M288&gt;M285," * F05-15 for Age "&amp;L20&amp;" "&amp;M21&amp;" is more than F05-12"&amp;CHAR(10),""),IF(N288&gt;N285," * F05-15 for Age "&amp;N20&amp;" "&amp;N21&amp;" is more than F05-12"&amp;CHAR(10),""),IF(O288&gt;O285," * F05-15 for Age "&amp;N20&amp;" "&amp;O21&amp;" is more than F05-12"&amp;CHAR(10),""),IF(P288&gt;P285," * F05-15 for Age "&amp;P20&amp;" "&amp;P21&amp;" is more than F05-12"&amp;CHAR(10),""),IF(Q288&gt;Q285," * F05-15 for Age "&amp;P20&amp;" "&amp;Q21&amp;" is more than F05-12"&amp;CHAR(10),""),IF(R288&gt;R285," * F05-15 for Age "&amp;R20&amp;" "&amp;R21&amp;" is more than F05-12"&amp;CHAR(10),""),IF(S288&gt;S285," * F05-15 for Age "&amp;R20&amp;" "&amp;S21&amp;" is more than F05-12"&amp;CHAR(10),""),IF(T288&gt;T285," * F05-15 for Age "&amp;T20&amp;" "&amp;T21&amp;" is more than F05-12"&amp;CHAR(10),""),IF(U288&gt;U285," * F05-15 for Age "&amp;T20&amp;" "&amp;U21&amp;" is more than F05-12"&amp;CHAR(10),""),IF(V288&gt;V285," * F05-15 for Age "&amp;V20&amp;" "&amp;V21&amp;" is more than F05-12"&amp;CHAR(10),""),IF(W288&gt;W285," * F05-15 for Age "&amp;V20&amp;" "&amp;W21&amp;" is more than F05-12"&amp;CHAR(10),""),IF(X288&gt;X285," * F05-15 for Age "&amp;X20&amp;" "&amp;X21&amp;" is more than F05-12"&amp;CHAR(10),""),IF(Y288&gt;Y285," * F05-15 for Age "&amp;X20&amp;" "&amp;Y21&amp;" is more than F05-12"&amp;CHAR(10),""),IF(Z288&gt;Z285," * F05-15 for Age "&amp;Z20&amp;" "&amp;Z21&amp;" is more than F05-12"&amp;CHAR(10),""),IF(AA288&gt;AA285," * F05-15 for Age "&amp;Z20&amp;" "&amp;AA21&amp;" is more than F05-12"&amp;CHAR(10),""),IF(AJ288&gt;AJ285," * Total F05-12 is more than Total F05-12"&amp;CHAR(10),""))</f>
        <v/>
      </c>
      <c r="AL288" s="1148"/>
      <c r="AM288" s="123"/>
      <c r="AN288" s="1131"/>
      <c r="AO288" s="13">
        <v>192</v>
      </c>
      <c r="AP288" s="74"/>
      <c r="AQ288" s="149"/>
    </row>
    <row r="289" spans="1:43" ht="27" thickBot="1" x14ac:dyDescent="0.45">
      <c r="A289" s="1120" t="s">
        <v>116</v>
      </c>
      <c r="B289" s="1118"/>
      <c r="C289" s="1118"/>
      <c r="D289" s="1118"/>
      <c r="E289" s="1118"/>
      <c r="F289" s="1118"/>
      <c r="G289" s="1118"/>
      <c r="H289" s="1118"/>
      <c r="I289" s="1118"/>
      <c r="J289" s="1118"/>
      <c r="K289" s="1118"/>
      <c r="L289" s="1118"/>
      <c r="M289" s="1118"/>
      <c r="N289" s="1118"/>
      <c r="O289" s="1118"/>
      <c r="P289" s="1118"/>
      <c r="Q289" s="1118"/>
      <c r="R289" s="1118"/>
      <c r="S289" s="1118"/>
      <c r="T289" s="1118"/>
      <c r="U289" s="1118"/>
      <c r="V289" s="1118"/>
      <c r="W289" s="1118"/>
      <c r="X289" s="1118"/>
      <c r="Y289" s="1118"/>
      <c r="Z289" s="1118"/>
      <c r="AA289" s="1118"/>
      <c r="AB289" s="1117"/>
      <c r="AC289" s="1117"/>
      <c r="AD289" s="1117"/>
      <c r="AE289" s="1117"/>
      <c r="AF289" s="1117"/>
      <c r="AG289" s="1117"/>
      <c r="AH289" s="1117"/>
      <c r="AI289" s="1117"/>
      <c r="AJ289" s="1118"/>
      <c r="AK289" s="1118"/>
      <c r="AL289" s="1118"/>
      <c r="AM289" s="1118"/>
      <c r="AN289" s="1119"/>
      <c r="AO289" s="13">
        <v>193</v>
      </c>
      <c r="AP289" s="74"/>
      <c r="AQ289" s="75"/>
    </row>
    <row r="290" spans="1:43" ht="26.25" customHeight="1" x14ac:dyDescent="0.4">
      <c r="A290" s="1164" t="s">
        <v>36</v>
      </c>
      <c r="B290" s="1189" t="s">
        <v>321</v>
      </c>
      <c r="C290" s="1162" t="s">
        <v>305</v>
      </c>
      <c r="D290" s="1184" t="s">
        <v>0</v>
      </c>
      <c r="E290" s="1139"/>
      <c r="F290" s="1139" t="s">
        <v>1</v>
      </c>
      <c r="G290" s="1139"/>
      <c r="H290" s="1139" t="s">
        <v>2</v>
      </c>
      <c r="I290" s="1139"/>
      <c r="J290" s="1139" t="s">
        <v>3</v>
      </c>
      <c r="K290" s="1139"/>
      <c r="L290" s="1139" t="s">
        <v>4</v>
      </c>
      <c r="M290" s="1139"/>
      <c r="N290" s="1139" t="s">
        <v>5</v>
      </c>
      <c r="O290" s="1139"/>
      <c r="P290" s="1139" t="s">
        <v>6</v>
      </c>
      <c r="Q290" s="1139"/>
      <c r="R290" s="1139" t="s">
        <v>7</v>
      </c>
      <c r="S290" s="1139"/>
      <c r="T290" s="1139" t="s">
        <v>8</v>
      </c>
      <c r="U290" s="1139"/>
      <c r="V290" s="1139" t="s">
        <v>23</v>
      </c>
      <c r="W290" s="1139"/>
      <c r="X290" s="1139" t="s">
        <v>24</v>
      </c>
      <c r="Y290" s="1139"/>
      <c r="Z290" s="1139" t="s">
        <v>9</v>
      </c>
      <c r="AA290" s="1140"/>
      <c r="AB290" s="1144"/>
      <c r="AC290" s="1145"/>
      <c r="AD290" s="1145"/>
      <c r="AE290" s="1145"/>
      <c r="AF290" s="1145"/>
      <c r="AG290" s="1145"/>
      <c r="AH290" s="1145"/>
      <c r="AI290" s="1404"/>
      <c r="AJ290" s="1152" t="s">
        <v>19</v>
      </c>
      <c r="AK290" s="1154" t="s">
        <v>354</v>
      </c>
      <c r="AL290" s="1137" t="s">
        <v>360</v>
      </c>
      <c r="AM290" s="1132" t="s">
        <v>361</v>
      </c>
      <c r="AN290" s="1127" t="s">
        <v>361</v>
      </c>
      <c r="AO290" s="13">
        <v>194</v>
      </c>
      <c r="AP290" s="74"/>
      <c r="AQ290" s="75"/>
    </row>
    <row r="291" spans="1:43" ht="27" customHeight="1" thickBot="1" x14ac:dyDescent="0.45">
      <c r="A291" s="1165"/>
      <c r="B291" s="1190"/>
      <c r="C291" s="1231"/>
      <c r="D291" s="285" t="s">
        <v>10</v>
      </c>
      <c r="E291" s="68" t="s">
        <v>11</v>
      </c>
      <c r="F291" s="68" t="s">
        <v>10</v>
      </c>
      <c r="G291" s="68" t="s">
        <v>11</v>
      </c>
      <c r="H291" s="68" t="s">
        <v>10</v>
      </c>
      <c r="I291" s="68" t="s">
        <v>11</v>
      </c>
      <c r="J291" s="68" t="s">
        <v>10</v>
      </c>
      <c r="K291" s="68" t="s">
        <v>11</v>
      </c>
      <c r="L291" s="68" t="s">
        <v>10</v>
      </c>
      <c r="M291" s="68" t="s">
        <v>11</v>
      </c>
      <c r="N291" s="68" t="s">
        <v>10</v>
      </c>
      <c r="O291" s="68" t="s">
        <v>11</v>
      </c>
      <c r="P291" s="68" t="s">
        <v>10</v>
      </c>
      <c r="Q291" s="68" t="s">
        <v>11</v>
      </c>
      <c r="R291" s="68" t="s">
        <v>10</v>
      </c>
      <c r="S291" s="68" t="s">
        <v>11</v>
      </c>
      <c r="T291" s="68" t="s">
        <v>10</v>
      </c>
      <c r="U291" s="68" t="s">
        <v>11</v>
      </c>
      <c r="V291" s="68" t="s">
        <v>10</v>
      </c>
      <c r="W291" s="68" t="s">
        <v>11</v>
      </c>
      <c r="X291" s="68" t="s">
        <v>10</v>
      </c>
      <c r="Y291" s="68" t="s">
        <v>11</v>
      </c>
      <c r="Z291" s="68" t="s">
        <v>10</v>
      </c>
      <c r="AA291" s="357" t="s">
        <v>11</v>
      </c>
      <c r="AB291" s="359"/>
      <c r="AC291" s="360"/>
      <c r="AD291" s="360"/>
      <c r="AE291" s="360"/>
      <c r="AF291" s="360"/>
      <c r="AG291" s="360"/>
      <c r="AH291" s="360"/>
      <c r="AI291" s="361"/>
      <c r="AJ291" s="1153"/>
      <c r="AK291" s="1155"/>
      <c r="AL291" s="1138"/>
      <c r="AM291" s="1132"/>
      <c r="AN291" s="1128"/>
      <c r="AO291" s="13">
        <v>195</v>
      </c>
      <c r="AP291" s="74"/>
      <c r="AQ291" s="75"/>
    </row>
    <row r="292" spans="1:43" ht="31.15" customHeight="1" x14ac:dyDescent="0.4">
      <c r="A292" s="1334" t="s">
        <v>103</v>
      </c>
      <c r="B292" s="203" t="s">
        <v>650</v>
      </c>
      <c r="C292" s="578" t="s">
        <v>342</v>
      </c>
      <c r="D292" s="70"/>
      <c r="E292" s="71"/>
      <c r="F292" s="71"/>
      <c r="G292" s="71"/>
      <c r="H292" s="71"/>
      <c r="I292" s="71"/>
      <c r="J292" s="71"/>
      <c r="K292" s="127"/>
      <c r="L292" s="71"/>
      <c r="M292" s="127"/>
      <c r="N292" s="71"/>
      <c r="O292" s="127"/>
      <c r="P292" s="71"/>
      <c r="Q292" s="127"/>
      <c r="R292" s="71"/>
      <c r="S292" s="127"/>
      <c r="T292" s="71"/>
      <c r="U292" s="127"/>
      <c r="V292" s="71"/>
      <c r="W292" s="127"/>
      <c r="X292" s="71"/>
      <c r="Y292" s="127"/>
      <c r="Z292" s="71"/>
      <c r="AA292" s="342"/>
      <c r="AB292" s="373"/>
      <c r="AC292" s="374"/>
      <c r="AD292" s="374"/>
      <c r="AE292" s="374"/>
      <c r="AF292" s="374"/>
      <c r="AG292" s="374"/>
      <c r="AH292" s="374"/>
      <c r="AI292" s="305"/>
      <c r="AJ292" s="384">
        <f>SUM(D292:AA292)</f>
        <v>0</v>
      </c>
      <c r="AK292" s="139" t="str">
        <f>CONCATENATE(IF(D292&lt;SUM(D293,D294)," * Sum of (KP at ANC1 and initial test at ANC1) for Age "&amp;D20&amp;" "&amp;D21&amp;" is more than New 1st ANC Clients"&amp;CHAR(10),""),IF(E292&lt;SUM(E293,E294,E234)," * Sum of (KP at ANC1 and initial test at ANC1) for Age "&amp;D20&amp;" "&amp;E21&amp;" is more than New 1st ANC Clients"&amp;CHAR(10),""),IF(F292&lt;SUM(F293,F294)," * Sum of (KP at ANC1 and initial test at ANC1) for Age "&amp;F20&amp;" "&amp;F21&amp;" is more than New 1st ANC Clients"&amp;CHAR(10),""),IF(G292&lt;SUM(G293,G294,G234)," * Sum of (KP at ANC1 and initial test at ANC1) for Age "&amp;F20&amp;" "&amp;G21&amp;" is more than New 1st ANC Clients"&amp;CHAR(10),""),IF(H292&lt;SUM(H293,H294)," * Sum of (KP at ANC1 and initial test at ANC1) for Age "&amp;H20&amp;" "&amp;H21&amp;" is more than New 1st ANC Clients"&amp;CHAR(10),""),IF(I292&lt;SUM(I293,I294,I234)," * Sum of (KP at ANC1 and initial test at ANC1) for Age "&amp;H20&amp;" "&amp;I21&amp;" is more than New 1st ANC Clients"&amp;CHAR(10),""),IF(J292&lt;SUM(J293,J294)," * Sum of (KP at ANC1 and initial test at ANC1) for Age "&amp;J20&amp;" "&amp;J21&amp;" is more than New 1st ANC Clients"&amp;CHAR(10),""),IF(K292&lt;SUM(K293,K294,K234)," * Sum of (KP at ANC1 and initial test at ANC1) for Age "&amp;J20&amp;" "&amp;K21&amp;" is more than New 1st ANC Clients"&amp;CHAR(10),""),IF(L292&lt;SUM(L293,L294)," * Sum of (KP at ANC1 and initial test at ANC1) for Age "&amp;L20&amp;" "&amp;L21&amp;" is more than New 1st ANC Clients"&amp;CHAR(10),""),IF(M292&lt;SUM(M293,M294,M234)," * Sum of (KP at ANC1 and initial test at ANC1) for Age "&amp;L20&amp;" "&amp;M21&amp;" is more than New 1st ANC Clients"&amp;CHAR(10),""),IF(N292&lt;SUM(N293,N294)," * Sum of (KP at ANC1 and initial test at ANC1) for Age "&amp;N20&amp;" "&amp;N21&amp;" is more than New 1st ANC Clients"&amp;CHAR(10),""),IF(O292&lt;SUM(O293,O294,O234)," * Sum of (KP at ANC1 and initial test at ANC1) for Age "&amp;N20&amp;" "&amp;O21&amp;" is more than New 1st ANC Clients"&amp;CHAR(10),""),IF(P292&lt;SUM(P293,P294)," * Sum of (KP at ANC1 and initial test at ANC1) for Age "&amp;P20&amp;" "&amp;P21&amp;" is more than New 1st ANC Clients"&amp;CHAR(10),""),IF(Q292&lt;SUM(Q293,Q294,Q234)," * Sum of (KP at ANC1 and initial test at ANC1) for Age "&amp;P20&amp;" "&amp;Q21&amp;" is more than New 1st ANC Clients"&amp;CHAR(10),""),IF(R292&lt;SUM(R293,R294)," * Sum of (KP at ANC1 and initial test at ANC1) for Age "&amp;R20&amp;" "&amp;R21&amp;" is more than New 1st ANC Clients"&amp;CHAR(10),""),IF(S292&lt;SUM(S293,S294,S234)," * Sum of (KP at ANC1 and initial test at ANC1) for Age "&amp;R20&amp;" "&amp;S21&amp;" is more than New 1st ANC Clients"&amp;CHAR(10),""),IF(T292&lt;SUM(T293,T294)," * Sum of (KP at ANC1 and initial test at ANC1) for Age "&amp;T20&amp;" "&amp;T21&amp;" is more than New 1st ANC Clients"&amp;CHAR(10),""),IF(U292&lt;SUM(U293,U294,U234)," * Sum of (KP at ANC1 and initial test at ANC1) for Age "&amp;T20&amp;" "&amp;U21&amp;" is more than New 1st ANC Clients"&amp;CHAR(10),""),IF(V292&lt;SUM(V293,V294)," * Sum of (KP at ANC1 and initial test at ANC1) for Age "&amp;V20&amp;" "&amp;V21&amp;" is more than New 1st ANC Clients"&amp;CHAR(10),""),IF(W292&lt;SUM(W293,W294,W234)," * Sum of (KP at ANC1 and initial test at ANC1) for Age "&amp;V20&amp;" "&amp;W21&amp;" is more than New 1st ANC Clients"&amp;CHAR(10),""),IF(X292&lt;SUM(X293,X294)," * Sum of (KP at ANC1 and initial test at ANC1) for Age "&amp;X20&amp;" "&amp;X21&amp;" is more than New 1st ANC Clients"&amp;CHAR(10),""),IF(Y292&lt;SUM(Y293,Y294,Y234)," * Sum of (KP at ANC1 and initial test at ANC1) for Age "&amp;X20&amp;" "&amp;Y21&amp;" is more than New 1st ANC Clients"&amp;CHAR(10),""),IF(Z292&lt;SUM(Z293,Z294)," * Sum of (KP at ANC1 and initial test at ANC1) for Age "&amp;Z20&amp;" "&amp;Z21&amp;" is more than New 1st ANC Clients"&amp;CHAR(10),""),IF(AA292&lt;SUM(AA293,AA294,AA234)," * Sum of (KP at ANC1 and initial test at ANC1) for Age "&amp;Z20&amp;" "&amp;AA21&amp;" is more than New 1st ANC Clients"&amp;CHAR(10),""),IF(AJ292&lt;SUM(AJ293,AJ294)," * Total Sum of (KP at ANC1 and initial test at ANC1) is more than New 1st ANC Clients"&amp;CHAR(10),""))</f>
        <v/>
      </c>
      <c r="AL292" s="1121" t="str">
        <f>CONCATENATE(AK292,AK293,AK294,AK295,AK298,AK302,AK306,AK314,AK305,AK304,AK296,AK297,AK301,AK308,AK309,AK310,AK311,AK313,AK312,AK300)</f>
        <v/>
      </c>
      <c r="AM292" s="204"/>
      <c r="AN292" s="1343" t="str">
        <f>CONCATENATE(AM292,AM293,AM294,AM295,AM298,AM299,AM302,AM303,AM306,AM307,AM314,AM315,AM296,AM297,AM300,AM301,AM304,AM305,AM308,AM309,AM310,AM311)</f>
        <v/>
      </c>
      <c r="AO292" s="13">
        <v>196</v>
      </c>
      <c r="AP292" s="74"/>
      <c r="AQ292" s="75"/>
    </row>
    <row r="293" spans="1:43" ht="31.15" customHeight="1" x14ac:dyDescent="0.4">
      <c r="A293" s="1272"/>
      <c r="B293" s="205" t="s">
        <v>651</v>
      </c>
      <c r="C293" s="559" t="s">
        <v>253</v>
      </c>
      <c r="D293" s="77"/>
      <c r="E293" s="78"/>
      <c r="F293" s="78"/>
      <c r="G293" s="78"/>
      <c r="H293" s="78"/>
      <c r="I293" s="78"/>
      <c r="J293" s="78"/>
      <c r="K293" s="206"/>
      <c r="L293" s="207"/>
      <c r="M293" s="206"/>
      <c r="N293" s="207"/>
      <c r="O293" s="206"/>
      <c r="P293" s="207"/>
      <c r="Q293" s="206"/>
      <c r="R293" s="207"/>
      <c r="S293" s="206"/>
      <c r="T293" s="207"/>
      <c r="U293" s="206"/>
      <c r="V293" s="207"/>
      <c r="W293" s="206"/>
      <c r="X293" s="207"/>
      <c r="Y293" s="206"/>
      <c r="Z293" s="78"/>
      <c r="AA293" s="343"/>
      <c r="AB293" s="375"/>
      <c r="AC293" s="345"/>
      <c r="AD293" s="345"/>
      <c r="AE293" s="345"/>
      <c r="AF293" s="345"/>
      <c r="AG293" s="345"/>
      <c r="AH293" s="345"/>
      <c r="AI293" s="302"/>
      <c r="AJ293" s="385">
        <f t="shared" ref="AJ293:AJ323" si="135">SUM(D293:AA293)</f>
        <v>0</v>
      </c>
      <c r="AK293" s="116" t="str">
        <f>CONCATENATE(IF(D328&gt;D293," * ON HAART at 1st ANC for Age "&amp;D20&amp;" "&amp;D21&amp;" is more than KP at 1st ANC "&amp;CHAR(10),""),IF(E328&gt;E293," * ON HAART at 1st ANC for Age "&amp;D20&amp;" "&amp;E21&amp;" is more than KP at 1st ANC "&amp;CHAR(10),""),IF(F328&gt;F293," * ON HAART at 1st ANC for Age "&amp;F20&amp;" "&amp;F21&amp;" is more than KP at 1st ANC "&amp;CHAR(10),""),IF(G328&gt;G293," * ON HAART at 1st ANC for Age "&amp;F20&amp;" "&amp;G21&amp;" is more than KP at 1st ANC "&amp;CHAR(10),""),IF(H328&gt;H293," * ON HAART at 1st ANC for Age "&amp;H20&amp;" "&amp;H21&amp;" is more than KP at 1st ANC "&amp;CHAR(10),""),IF(I328&gt;I293," * ON HAART at 1st ANC for Age "&amp;H20&amp;" "&amp;I21&amp;" is more than KP at 1st ANC "&amp;CHAR(10),""),IF(J328&gt;J293," * ON HAART at 1st ANC for Age "&amp;J20&amp;" "&amp;J21&amp;" is more than KP at 1st ANC "&amp;CHAR(10),""),IF(K328&gt;K293," * ON HAART at 1st ANC for Age "&amp;J20&amp;" "&amp;K21&amp;" is more than KP at 1st ANC "&amp;CHAR(10),""),IF(L328&gt;L293," * ON HAART at 1st ANC for Age "&amp;L20&amp;" "&amp;L21&amp;" is more than KP at 1st ANC "&amp;CHAR(10),""),IF(M328&gt;M293," * ON HAART at 1st ANC for Age "&amp;L20&amp;" "&amp;M21&amp;" is more than KP at 1st ANC "&amp;CHAR(10),""),IF(N328&gt;N293," * ON HAART at 1st ANC for Age "&amp;N20&amp;" "&amp;N21&amp;" is more than KP at 1st ANC "&amp;CHAR(10),""),IF(O328&gt;O293," * ON HAART at 1st ANC for Age "&amp;N20&amp;" "&amp;O21&amp;" is more than KP at 1st ANC "&amp;CHAR(10),""),IF(P328&gt;P293," * ON HAART at 1st ANC for Age "&amp;P20&amp;" "&amp;P21&amp;" is more than KP at 1st ANC "&amp;CHAR(10),""),IF(Q328&gt;Q293," * ON HAART at 1st ANC for Age "&amp;P20&amp;" "&amp;Q21&amp;" is more than KP at 1st ANC "&amp;CHAR(10),""),IF(R328&gt;R293," * ON HAART at 1st ANC for Age "&amp;R20&amp;" "&amp;R21&amp;" is more than KP at 1st ANC "&amp;CHAR(10),""),IF(S328&gt;S293," * ON HAART at 1st ANC for Age "&amp;R20&amp;" "&amp;S21&amp;" is more than KP at 1st ANC "&amp;CHAR(10),""),IF(T328&gt;T293," * ON HAART at 1st ANC for Age "&amp;T20&amp;" "&amp;T21&amp;" is more than KP at 1st ANC "&amp;CHAR(10),""),IF(U328&gt;U293," * ON HAART at 1st ANC for Age "&amp;T20&amp;" "&amp;U21&amp;" is more than KP at 1st ANC "&amp;CHAR(10),""),IF(V328&gt;V293," * ON HAART at 1st ANC for Age "&amp;V20&amp;" "&amp;V21&amp;" is more than KP at 1st ANC "&amp;CHAR(10),""),IF(W328&gt;W293," * ON HAART at 1st ANC for Age "&amp;V20&amp;" "&amp;W21&amp;" is more than KP at 1st ANC "&amp;CHAR(10),""),IF(X328&gt;X293," * ON HAART at 1st ANC for Age "&amp;X20&amp;" "&amp;X21&amp;" is more than KP at 1st ANC "&amp;CHAR(10),""),IF(Y328&gt;Y293," * ON HAART at 1st ANC for Age "&amp;X20&amp;" "&amp;Y21&amp;" is more than KP at 1st ANC "&amp;CHAR(10),""),IF(Z328&gt;Z293," * ON HAART at 1st ANC for Age "&amp;Z20&amp;" "&amp;Z21&amp;" is more than KP at 1st ANC "&amp;CHAR(10),""),IF(AA328&gt;AA293," * ON HAART at 1st ANC for Age "&amp;Z20&amp;" "&amp;AA21&amp;" is more than KP at 1st ANC "&amp;CHAR(10),""))</f>
        <v/>
      </c>
      <c r="AL293" s="1122"/>
      <c r="AM293" s="208" t="str">
        <f>CONCATENATE(IF(D292&gt;SUM(D293,D294)," * Sum of (KP at ANC1 and initial test at ANC1) for Age "&amp;D20&amp;" "&amp;D21&amp;" is less than New 1st ANC Clients"&amp;CHAR(10),""),IF(E292&gt;SUM(E293,E294,E234)," * Sum of (KP at ANC1 and initial test at ANC1) for Age "&amp;D20&amp;" "&amp;E21&amp;" is less than New 1st ANC Clients"&amp;CHAR(10),""),IF(F292&gt;SUM(F293,F294)," * Sum of (KP at ANC1 and initial test at ANC1) for Age "&amp;F20&amp;" "&amp;F21&amp;" is less than New 1st ANC Clients"&amp;CHAR(10),""),IF(G292&gt;SUM(G293,G294,G234)," * Sum of (KP at ANC1 and initial test at ANC1) for Age "&amp;F20&amp;" "&amp;G21&amp;" is less than New 1st ANC Clients"&amp;CHAR(10),""),IF(H292&gt;SUM(H293,H294)," * Sum of (KP at ANC1 and initial test at ANC1) for Age "&amp;H20&amp;" "&amp;H21&amp;" is less than New 1st ANC Clients"&amp;CHAR(10),""),IF(I292&gt;SUM(I293,I294,I234)," * Sum of (KP at ANC1 and initial test at ANC1) for Age "&amp;H20&amp;" "&amp;I21&amp;" is less than New 1st ANC Clients"&amp;CHAR(10),""),IF(J292&gt;SUM(J293,J294)," * Sum of (KP at ANC1 and initial test at ANC1) for Age "&amp;J20&amp;" "&amp;J21&amp;" is less than New 1st ANC Clients"&amp;CHAR(10),""),IF(K292&gt;SUM(K293,K294,K234)," * Sum of (KP at ANC1 and initial test at ANC1) for Age "&amp;J20&amp;" "&amp;K21&amp;" is less than New 1st ANC Clients"&amp;CHAR(10),""),IF(L292&gt;SUM(L293,L294)," * Sum of (KP at ANC1 and initial test at ANC1) for Age "&amp;L20&amp;" "&amp;L21&amp;" is less than New 1st ANC Clients"&amp;CHAR(10),""),IF(M292&gt;SUM(M293,M294,M234)," * Sum of (KP at ANC1 and initial test at ANC1) for Age "&amp;L20&amp;" "&amp;M21&amp;" is less than New 1st ANC Clients"&amp;CHAR(10),""),IF(N292&gt;SUM(N293,N294)," * Sum of (KP at ANC1 and initial test at ANC1) for Age "&amp;N20&amp;" "&amp;N21&amp;" is less than New 1st ANC Clients"&amp;CHAR(10),""),IF(O292&gt;SUM(O293,O294,O234)," * Sum of (KP at ANC1 and initial test at ANC1) for Age "&amp;N20&amp;" "&amp;O21&amp;" is less than New 1st ANC Clients"&amp;CHAR(10),""),IF(P292&gt;SUM(P293,P294)," * Sum of (KP at ANC1 and initial test at ANC1) for Age "&amp;P20&amp;" "&amp;P21&amp;" is less than New 1st ANC Clients"&amp;CHAR(10),""),IF(Q292&gt;SUM(Q293,Q294,Q234)," * Sum of (KP at ANC1 and initial test at ANC1) for Age "&amp;P20&amp;" "&amp;Q21&amp;" is less than New 1st ANC Clients"&amp;CHAR(10),""),IF(R292&gt;SUM(R293,R294)," * Sum of (KP at ANC1 and initial test at ANC1) for Age "&amp;R20&amp;" "&amp;R21&amp;" is less than New 1st ANC Clients"&amp;CHAR(10),""),IF(S292&gt;SUM(S293,S294,S234)," * Sum of (KP at ANC1 and initial test at ANC1) for Age "&amp;R20&amp;" "&amp;S21&amp;" is less than New 1st ANC Clients"&amp;CHAR(10),""),IF(T292&gt;SUM(T293,T294)," * Sum of (KP at ANC1 and initial test at ANC1) for Age "&amp;T20&amp;" "&amp;T21&amp;" is less than New 1st ANC Clients"&amp;CHAR(10),""),IF(U292&gt;SUM(U293,U294,U234)," * Sum of (KP at ANC1 and initial test at ANC1) for Age "&amp;T20&amp;" "&amp;U21&amp;" is less than New 1st ANC Clients"&amp;CHAR(10),""),IF(V292&gt;SUM(V293,V294)," * Sum of (KP at ANC1 and initial test at ANC1) for Age "&amp;V20&amp;" "&amp;V21&amp;" is less than New 1st ANC Clients"&amp;CHAR(10),""),IF(W292&gt;SUM(W293,W294,W234)," * Sum of (KP at ANC1 and initial test at ANC1) for Age "&amp;V20&amp;" "&amp;W21&amp;" is less than New 1st ANC Clients"&amp;CHAR(10),""),IF(X292&gt;SUM(X293,X294)," * Sum of (KP at ANC1 and initial test at ANC1) for Age "&amp;X20&amp;" "&amp;X21&amp;" is less than New 1st ANC Clients"&amp;CHAR(10),""),IF(Y292&gt;SUM(Y293,Y294,Y234)," * Sum of (KP at ANC1 and initial test at ANC1) for Age "&amp;X20&amp;" "&amp;Y21&amp;" is less than New 1st ANC Clients"&amp;CHAR(10),""),IF(Z292&gt;SUM(Z293,Z294)," * Sum of (KP at ANC1 and initial test at ANC1) for Age "&amp;Z20&amp;" "&amp;Z21&amp;" is less than New 1st ANC Clients"&amp;CHAR(10),""),IF(AA292&gt;SUM(AA293,AA294,AA234)," * Sum of (KP at ANC1 and initial test at ANC1) for Age "&amp;Z20&amp;" "&amp;AA21&amp;" is less than New 1st ANC Clients"&amp;CHAR(10),""))</f>
        <v/>
      </c>
      <c r="AN293" s="1344"/>
      <c r="AO293" s="13">
        <v>197</v>
      </c>
      <c r="AP293" s="74"/>
      <c r="AQ293" s="75"/>
    </row>
    <row r="294" spans="1:43" ht="26.25" x14ac:dyDescent="0.4">
      <c r="A294" s="1272"/>
      <c r="B294" s="76" t="s">
        <v>652</v>
      </c>
      <c r="C294" s="559" t="s">
        <v>254</v>
      </c>
      <c r="D294" s="77"/>
      <c r="E294" s="78"/>
      <c r="F294" s="78"/>
      <c r="G294" s="78"/>
      <c r="H294" s="78"/>
      <c r="I294" s="78"/>
      <c r="J294" s="78"/>
      <c r="K294" s="79"/>
      <c r="L294" s="78"/>
      <c r="M294" s="79"/>
      <c r="N294" s="78"/>
      <c r="O294" s="79"/>
      <c r="P294" s="78"/>
      <c r="Q294" s="79"/>
      <c r="R294" s="78"/>
      <c r="S294" s="79"/>
      <c r="T294" s="78"/>
      <c r="U294" s="79"/>
      <c r="V294" s="78"/>
      <c r="W294" s="79"/>
      <c r="X294" s="78"/>
      <c r="Y294" s="79"/>
      <c r="Z294" s="78"/>
      <c r="AA294" s="343"/>
      <c r="AB294" s="375"/>
      <c r="AC294" s="345"/>
      <c r="AD294" s="345"/>
      <c r="AE294" s="345"/>
      <c r="AF294" s="345"/>
      <c r="AG294" s="345"/>
      <c r="AH294" s="345"/>
      <c r="AI294" s="302"/>
      <c r="AJ294" s="385">
        <f t="shared" si="135"/>
        <v>0</v>
      </c>
      <c r="AK294" s="116" t="str">
        <f>CONCATENATE(IF(D294&gt;D292," * F06-03 for Age "&amp;D20&amp;" "&amp;D21&amp;" is more than F06-01"&amp;CHAR(10),""),IF(E294&gt;E292," * F06-03 for Age "&amp;D20&amp;" "&amp;E21&amp;" is more than F06-01"&amp;CHAR(10),""),IF(F294&gt;F292," * F06-03 for Age "&amp;F20&amp;" "&amp;F21&amp;" is more than F06-01"&amp;CHAR(10),""),IF(G294&gt;G292," * F06-03 for Age "&amp;F20&amp;" "&amp;G21&amp;" is more than F06-01"&amp;CHAR(10),""),IF(H294&gt;H292," * F06-03 for Age "&amp;H20&amp;" "&amp;H21&amp;" is more than F06-01"&amp;CHAR(10),""),IF(I294&gt;I292," * F06-03 for Age "&amp;H20&amp;" "&amp;I21&amp;" is more than F06-01"&amp;CHAR(10),""),IF(J294&gt;J292," * F06-03 for Age "&amp;J20&amp;" "&amp;J21&amp;" is more than F06-01"&amp;CHAR(10),""),IF(K294&gt;K292," * F06-03 for Age "&amp;J20&amp;" "&amp;K21&amp;" is more than F06-01"&amp;CHAR(10),""),IF(L294&gt;L292," * F06-03 for Age "&amp;L20&amp;" "&amp;L21&amp;" is more than F06-01"&amp;CHAR(10),""),IF(M294&gt;M292," * F06-03 for Age "&amp;L20&amp;" "&amp;M21&amp;" is more than F06-01"&amp;CHAR(10),""),IF(N294&gt;N292," * F06-03 for Age "&amp;N20&amp;" "&amp;N21&amp;" is more than F06-01"&amp;CHAR(10),""),IF(O294&gt;O292," * F06-03 for Age "&amp;N20&amp;" "&amp;O21&amp;" is more than F06-01"&amp;CHAR(10),""),IF(P294&gt;P292," * F06-03 for Age "&amp;P20&amp;" "&amp;P21&amp;" is more than F06-01"&amp;CHAR(10),""),IF(Q294&gt;Q292," * F06-03 for Age "&amp;P20&amp;" "&amp;Q21&amp;" is more than F06-01"&amp;CHAR(10),""),IF(R294&gt;R292," * F06-03 for Age "&amp;R20&amp;" "&amp;R21&amp;" is more than F06-01"&amp;CHAR(10),""),IF(S294&gt;S292," * F06-03 for Age "&amp;R20&amp;" "&amp;S21&amp;" is more than F06-01"&amp;CHAR(10),""),IF(T294&gt;T292," * F06-03 for Age "&amp;T20&amp;" "&amp;T21&amp;" is more than F06-01"&amp;CHAR(10),""),IF(U294&gt;U292," * F06-03 for Age "&amp;T20&amp;" "&amp;U21&amp;" is more than F06-01"&amp;CHAR(10),""),IF(V294&gt;V292," * F06-03 for Age "&amp;V20&amp;" "&amp;V21&amp;" is more than F06-01"&amp;CHAR(10),""),IF(W294&gt;W292," * F06-03 for Age "&amp;V20&amp;" "&amp;W21&amp;" is more than F06-01"&amp;CHAR(10),""),IF(X294&gt;X292," * F06-03 for Age "&amp;X20&amp;" "&amp;X21&amp;" is more than F06-01"&amp;CHAR(10),""),IF(Y294&gt;Y292," * F06-03 for Age "&amp;X20&amp;" "&amp;Y21&amp;" is more than F06-01"&amp;CHAR(10),""),IF(Z294&gt;Z292," * F06-03 for Age "&amp;Z20&amp;" "&amp;Z21&amp;" is more than F06-01"&amp;CHAR(10),""),IF(AA294&gt;AA292," * F06-03 for Age "&amp;Z20&amp;" "&amp;AA21&amp;" is more than F06-01"&amp;CHAR(10),""),IF(AJ294&gt;AJ292," * Total F06-03 is more than Total F06-01"&amp;CHAR(10),""))</f>
        <v/>
      </c>
      <c r="AL294" s="1122"/>
      <c r="AM294" s="31"/>
      <c r="AN294" s="1344"/>
      <c r="AO294" s="13">
        <v>198</v>
      </c>
      <c r="AP294" s="74"/>
      <c r="AQ294" s="75"/>
    </row>
    <row r="295" spans="1:43" ht="26.25" x14ac:dyDescent="0.4">
      <c r="A295" s="1272"/>
      <c r="B295" s="163" t="s">
        <v>653</v>
      </c>
      <c r="C295" s="559" t="s">
        <v>343</v>
      </c>
      <c r="D295" s="77"/>
      <c r="E295" s="78"/>
      <c r="F295" s="78"/>
      <c r="G295" s="78"/>
      <c r="H295" s="78"/>
      <c r="I295" s="78"/>
      <c r="J295" s="78"/>
      <c r="K295" s="206"/>
      <c r="L295" s="78"/>
      <c r="M295" s="206"/>
      <c r="N295" s="78"/>
      <c r="O295" s="206"/>
      <c r="P295" s="78"/>
      <c r="Q295" s="206"/>
      <c r="R295" s="78"/>
      <c r="S295" s="206"/>
      <c r="T295" s="78"/>
      <c r="U295" s="206"/>
      <c r="V295" s="78"/>
      <c r="W295" s="206"/>
      <c r="X295" s="78"/>
      <c r="Y295" s="206"/>
      <c r="Z295" s="78"/>
      <c r="AA295" s="343"/>
      <c r="AB295" s="375"/>
      <c r="AC295" s="345"/>
      <c r="AD295" s="345"/>
      <c r="AE295" s="345"/>
      <c r="AF295" s="345"/>
      <c r="AG295" s="345"/>
      <c r="AH295" s="345"/>
      <c r="AI295" s="302"/>
      <c r="AJ295" s="385">
        <f t="shared" si="135"/>
        <v>0</v>
      </c>
      <c r="AK295" s="116" t="str">
        <f>CONCATENATE(IF(D295&gt;D294," * New positive at ANC1 for Age "&amp;D20&amp;" "&amp;D21&amp;" is more than initial test at ANC1"&amp;CHAR(10),""),IF(E295&gt;E294," * New positive at ANC1 for Age "&amp;D20&amp;" "&amp;E21&amp;" is more than initial test at ANC1"&amp;CHAR(10),""),IF(F295&gt;F294," * New positive at ANC1 for Age "&amp;F20&amp;" "&amp;F21&amp;" is more than initial test at ANC1"&amp;CHAR(10),""),IF(G295&gt;G294," * New positive at ANC1 for Age "&amp;F20&amp;" "&amp;G21&amp;" is more than initial test at ANC1"&amp;CHAR(10),""),IF(H295&gt;H294," * New positive at ANC1 for Age "&amp;H20&amp;" "&amp;H21&amp;" is more than initial test at ANC1"&amp;CHAR(10),""),IF(I295&gt;I294," * New positive at ANC1 for Age "&amp;H20&amp;" "&amp;I21&amp;" is more than initial test at ANC1"&amp;CHAR(10),""),IF(J295&gt;J294," * New positive at ANC1 for Age "&amp;J20&amp;" "&amp;J21&amp;" is more than initial test at ANC1"&amp;CHAR(10),""),IF(K295&gt;K294," * New positive at ANC1 for Age "&amp;J20&amp;" "&amp;K21&amp;" is more than initial test at ANC1"&amp;CHAR(10),""),IF(L295&gt;L294," * New positive at ANC1 for Age "&amp;L20&amp;" "&amp;L21&amp;" is more than initial test at ANC1"&amp;CHAR(10),""),IF(M295&gt;M294," * New positive at ANC1 for Age "&amp;L20&amp;" "&amp;M21&amp;" is more than initial test at ANC1"&amp;CHAR(10),""),IF(N295&gt;N294," * New positive at ANC1 for Age "&amp;N20&amp;" "&amp;N21&amp;" is more than initial test at ANC1"&amp;CHAR(10),""),IF(O295&gt;O294," * New positive at ANC1 for Age "&amp;N20&amp;" "&amp;O21&amp;" is more than initial test at ANC1"&amp;CHAR(10),""),IF(P295&gt;P294," * New positive at ANC1 for Age "&amp;P20&amp;" "&amp;P21&amp;" is more than initial test at ANC1"&amp;CHAR(10),""),IF(Q295&gt;Q294," * New positive at ANC1 for Age "&amp;P20&amp;" "&amp;Q21&amp;" is more than initial test at ANC1"&amp;CHAR(10),""),IF(R295&gt;R294," * New positive at ANC1 for Age "&amp;R20&amp;" "&amp;R21&amp;" is more than initial test at ANC1"&amp;CHAR(10),""),IF(S295&gt;S294," * New positive at ANC1 for Age "&amp;R20&amp;" "&amp;S21&amp;" is more than initial test at ANC1"&amp;CHAR(10),""),IF(T295&gt;T294," * New positive at ANC1 for Age "&amp;T20&amp;" "&amp;T21&amp;" is more than initial test at ANC1"&amp;CHAR(10),""),IF(U295&gt;U294," * New positive at ANC1 for Age "&amp;T20&amp;" "&amp;U21&amp;" is more than initial test at ANC1"&amp;CHAR(10),""),IF(V295&gt;V294," * New positive at ANC1 for Age "&amp;V20&amp;" "&amp;V21&amp;" is more than initial test at ANC1"&amp;CHAR(10),""),IF(W295&gt;W294," * New positive at ANC1 for Age "&amp;V20&amp;" "&amp;W21&amp;" is more than initial test at ANC1"&amp;CHAR(10),""),IF(X295&gt;X294," * New positive at ANC1 for Age "&amp;X20&amp;" "&amp;X21&amp;" is more than initial test at ANC1"&amp;CHAR(10),""),IF(Y295&gt;Y294," * New positive at ANC1 for Age "&amp;X20&amp;" "&amp;Y21&amp;" is more than initial test at ANC1"&amp;CHAR(10),""),IF(Z295&gt;Z294," * New positive at ANC1 for Age "&amp;Z20&amp;" "&amp;Z21&amp;" is more than initial test at ANC1"&amp;CHAR(10),""),IF(AA295&gt;AA294," * New positive at ANC1 for Age "&amp;Z20&amp;" "&amp;AA21&amp;" is more than initial test at ANC1"&amp;CHAR(10),""),IF(AJ295&gt;AJ294," * Total New positive at ANC1 is more than Total initial test at ANC1"&amp;CHAR(10),""))</f>
        <v/>
      </c>
      <c r="AL295" s="1122"/>
      <c r="AM295" s="31"/>
      <c r="AN295" s="1344"/>
      <c r="AO295" s="13">
        <v>199</v>
      </c>
      <c r="AP295" s="74"/>
      <c r="AQ295" s="75"/>
    </row>
    <row r="296" spans="1:43" ht="26.25" x14ac:dyDescent="0.4">
      <c r="A296" s="1272"/>
      <c r="B296" s="209" t="s">
        <v>450</v>
      </c>
      <c r="C296" s="559" t="s">
        <v>454</v>
      </c>
      <c r="D296" s="77"/>
      <c r="E296" s="78"/>
      <c r="F296" s="78"/>
      <c r="G296" s="78"/>
      <c r="H296" s="78"/>
      <c r="I296" s="78"/>
      <c r="J296" s="78"/>
      <c r="K296" s="210">
        <f>K294+K293</f>
        <v>0</v>
      </c>
      <c r="L296" s="78"/>
      <c r="M296" s="210">
        <f>M294+M293</f>
        <v>0</v>
      </c>
      <c r="N296" s="78"/>
      <c r="O296" s="210">
        <f>O294+O293</f>
        <v>0</v>
      </c>
      <c r="P296" s="78"/>
      <c r="Q296" s="210">
        <f>Q294+Q293</f>
        <v>0</v>
      </c>
      <c r="R296" s="78"/>
      <c r="S296" s="210">
        <f>S294+S293</f>
        <v>0</v>
      </c>
      <c r="T296" s="78"/>
      <c r="U296" s="210">
        <f>U294+U293</f>
        <v>0</v>
      </c>
      <c r="V296" s="78"/>
      <c r="W296" s="210">
        <f>W294+W293</f>
        <v>0</v>
      </c>
      <c r="X296" s="78"/>
      <c r="Y296" s="210">
        <f>Y294+Y293</f>
        <v>0</v>
      </c>
      <c r="Z296" s="78"/>
      <c r="AA296" s="343"/>
      <c r="AB296" s="375"/>
      <c r="AC296" s="345"/>
      <c r="AD296" s="345"/>
      <c r="AE296" s="345"/>
      <c r="AF296" s="345"/>
      <c r="AG296" s="345"/>
      <c r="AH296" s="345"/>
      <c r="AI296" s="302"/>
      <c r="AJ296" s="385">
        <f t="shared" si="135"/>
        <v>0</v>
      </c>
      <c r="AK296" s="116"/>
      <c r="AL296" s="1122"/>
      <c r="AM296" s="31"/>
      <c r="AN296" s="1344"/>
      <c r="AO296" s="13">
        <v>200</v>
      </c>
      <c r="AP296" s="74"/>
      <c r="AQ296" s="75"/>
    </row>
    <row r="297" spans="1:43" ht="27" thickBot="1" x14ac:dyDescent="0.45">
      <c r="A297" s="1273"/>
      <c r="B297" s="211" t="s">
        <v>455</v>
      </c>
      <c r="C297" s="560" t="s">
        <v>469</v>
      </c>
      <c r="D297" s="103"/>
      <c r="E297" s="102"/>
      <c r="F297" s="102"/>
      <c r="G297" s="102"/>
      <c r="H297" s="102"/>
      <c r="I297" s="102"/>
      <c r="J297" s="102"/>
      <c r="K297" s="212">
        <f>K295+K293</f>
        <v>0</v>
      </c>
      <c r="L297" s="102"/>
      <c r="M297" s="212">
        <f>M295+M293</f>
        <v>0</v>
      </c>
      <c r="N297" s="102"/>
      <c r="O297" s="212">
        <f>O295+O293</f>
        <v>0</v>
      </c>
      <c r="P297" s="102"/>
      <c r="Q297" s="212">
        <f>Q295+Q293</f>
        <v>0</v>
      </c>
      <c r="R297" s="102"/>
      <c r="S297" s="212">
        <f>S295+S293</f>
        <v>0</v>
      </c>
      <c r="T297" s="102"/>
      <c r="U297" s="212">
        <f>U295+U293</f>
        <v>0</v>
      </c>
      <c r="V297" s="102"/>
      <c r="W297" s="212">
        <f>W295+W293</f>
        <v>0</v>
      </c>
      <c r="X297" s="102"/>
      <c r="Y297" s="212">
        <f>Y295+Y293</f>
        <v>0</v>
      </c>
      <c r="Z297" s="102"/>
      <c r="AA297" s="313"/>
      <c r="AB297" s="375"/>
      <c r="AC297" s="345"/>
      <c r="AD297" s="345"/>
      <c r="AE297" s="345"/>
      <c r="AF297" s="345"/>
      <c r="AG297" s="345"/>
      <c r="AH297" s="345"/>
      <c r="AI297" s="302"/>
      <c r="AJ297" s="386">
        <f t="shared" si="135"/>
        <v>0</v>
      </c>
      <c r="AK297" s="116"/>
      <c r="AL297" s="1122"/>
      <c r="AM297" s="31"/>
      <c r="AN297" s="1344"/>
      <c r="AO297" s="13">
        <v>201</v>
      </c>
      <c r="AP297" s="74"/>
      <c r="AQ297" s="75"/>
    </row>
    <row r="298" spans="1:43" ht="26.25" x14ac:dyDescent="0.4">
      <c r="A298" s="1136" t="s">
        <v>950</v>
      </c>
      <c r="B298" s="213" t="s">
        <v>654</v>
      </c>
      <c r="C298" s="558" t="s">
        <v>259</v>
      </c>
      <c r="D298" s="98"/>
      <c r="E298" s="99"/>
      <c r="F298" s="99"/>
      <c r="G298" s="99"/>
      <c r="H298" s="99"/>
      <c r="I298" s="99"/>
      <c r="J298" s="99"/>
      <c r="K298" s="94"/>
      <c r="L298" s="99"/>
      <c r="M298" s="94"/>
      <c r="N298" s="99"/>
      <c r="O298" s="94"/>
      <c r="P298" s="99"/>
      <c r="Q298" s="94"/>
      <c r="R298" s="99"/>
      <c r="S298" s="94"/>
      <c r="T298" s="99"/>
      <c r="U298" s="94"/>
      <c r="V298" s="99"/>
      <c r="W298" s="94"/>
      <c r="X298" s="99"/>
      <c r="Y298" s="94"/>
      <c r="Z298" s="99"/>
      <c r="AA298" s="312"/>
      <c r="AB298" s="375"/>
      <c r="AC298" s="345"/>
      <c r="AD298" s="345"/>
      <c r="AE298" s="345"/>
      <c r="AF298" s="345"/>
      <c r="AG298" s="345"/>
      <c r="AH298" s="345"/>
      <c r="AI298" s="302"/>
      <c r="AJ298" s="387">
        <f t="shared" si="135"/>
        <v>0</v>
      </c>
      <c r="AK298" s="1188" t="str">
        <f>CONCATENATE(IF(D299&gt;D298," * Initial positive results at ANC 2 and above for Age "&amp;D20&amp;" "&amp;D21&amp;" is more than Initial test at ANC 2 and above"&amp;CHAR(10),""),IF(E299&gt;E298," * Initial positive results at ANC 2 and above for Age "&amp;D20&amp;" "&amp;E21&amp;" is more than Initial test at ANC 2 and above"&amp;CHAR(10),""),IF(F299&gt;F298," * Initial positive results at ANC 2 and above for Age "&amp;F20&amp;" "&amp;F21&amp;" is more than Initial test at ANC 2 and above"&amp;CHAR(10),""),IF(G299&gt;G298," * Initial positive results at ANC 2 and above for Age "&amp;F20&amp;" "&amp;G21&amp;" is more than Initial test at ANC 2 and above"&amp;CHAR(10),""),IF(H299&gt;H298," * Initial positive results at ANC 2 and above for Age "&amp;H20&amp;" "&amp;H21&amp;" is more than Initial test at ANC 2 and above"&amp;CHAR(10),""),IF(I299&gt;I298," * Initial positive results at ANC 2 and above for Age "&amp;H20&amp;" "&amp;I21&amp;" is more than Initial test at ANC 2 and above"&amp;CHAR(10),""),IF(J299&gt;J298," * Initial positive results at ANC 2 and above for Age "&amp;J20&amp;" "&amp;J21&amp;" is more than Initial test at ANC 2 and above"&amp;CHAR(10),""),IF(K299&gt;K298," * Initial positive results at ANC 2 and above for Age "&amp;J20&amp;" "&amp;K21&amp;" is more than Initial test at ANC 2 and above"&amp;CHAR(10),""),IF(L299&gt;L298," * Initial positive results at ANC 2 and above for Age "&amp;L20&amp;" "&amp;L21&amp;" is more than Initial test at ANC 2 and above"&amp;CHAR(10),""),IF(M299&gt;M298," * Initial positive results at ANC 2 and above for Age "&amp;L20&amp;" "&amp;M21&amp;" is more than Initial test at ANC 2 and above"&amp;CHAR(10),""),IF(N299&gt;N298," * Initial positive results at ANC 2 and above for Age "&amp;N20&amp;" "&amp;N21&amp;" is more than Initial test at ANC 2 and above"&amp;CHAR(10),""),IF(O299&gt;O298," * Initial positive results at ANC 2 and above for Age "&amp;N20&amp;" "&amp;O21&amp;" is more than Initial test at ANC 2 and above"&amp;CHAR(10),""),IF(P299&gt;P298," * Initial positive results at ANC 2 and above for Age "&amp;P20&amp;" "&amp;P21&amp;" is more than Initial test at ANC 2 and above"&amp;CHAR(10),""),IF(Q299&gt;Q298," * Initial positive results at ANC 2 and above for Age "&amp;P20&amp;" "&amp;Q21&amp;" is more than Initial test at ANC 2 and above"&amp;CHAR(10),""),IF(R299&gt;R298," * Initial positive results at ANC 2 and above for Age "&amp;R20&amp;" "&amp;R21&amp;" is more than Initial test at ANC 2 and above"&amp;CHAR(10),""),IF(S299&gt;S298," * Initial positive results at ANC 2 and above for Age "&amp;R20&amp;" "&amp;S21&amp;" is more than Initial test at ANC 2 and above"&amp;CHAR(10),""),IF(T299&gt;T298," * Initial positive results at ANC 2 and above for Age "&amp;T20&amp;" "&amp;T21&amp;" is more than Initial test at ANC 2 and above"&amp;CHAR(10),""),IF(U299&gt;U298," * Initial positive results at ANC 2 and above for Age "&amp;T20&amp;" "&amp;U21&amp;" is more than Initial test at ANC 2 and above"&amp;CHAR(10),""),IF(V299&gt;V298," * Initial positive results at ANC 2 and above for Age "&amp;V20&amp;" "&amp;V21&amp;" is more than Initial test at ANC 2 and above"&amp;CHAR(10),""),IF(W299&gt;W298," * Initial positive results at ANC 2 and above for Age "&amp;V20&amp;" "&amp;W21&amp;" is more than Initial test at ANC 2 and above"&amp;CHAR(10),""),IF(X299&gt;X298," * Initial positive results at ANC 2 and above for Age "&amp;X20&amp;" "&amp;X21&amp;" is more than Initial test at ANC 2 and above"&amp;CHAR(10),""),IF(Y299&gt;Y298," * Initial positive results at ANC 2 and above for Age "&amp;X20&amp;" "&amp;Y21&amp;" is more than Initial test at ANC 2 and above"&amp;CHAR(10),""),IF(Z299&gt;Z298," * Initial positive results at ANC 2 and above for Age "&amp;Z20&amp;" "&amp;Z21&amp;" is more than Initial test at ANC 2 and above"&amp;CHAR(10),""),IF(AA299&gt;AA298," * Initial positive results at ANC 2 and above for Age "&amp;Z20&amp;" "&amp;AA21&amp;" is more than Initial test at ANC 2 and above"&amp;CHAR(10),""))</f>
        <v/>
      </c>
      <c r="AL298" s="1122"/>
      <c r="AM298" s="31"/>
      <c r="AN298" s="1344"/>
      <c r="AO298" s="13">
        <v>202</v>
      </c>
      <c r="AP298" s="74"/>
      <c r="AQ298" s="75"/>
    </row>
    <row r="299" spans="1:43" ht="26.25" x14ac:dyDescent="0.4">
      <c r="A299" s="1224"/>
      <c r="B299" s="214" t="s">
        <v>452</v>
      </c>
      <c r="C299" s="559" t="s">
        <v>260</v>
      </c>
      <c r="D299" s="77"/>
      <c r="E299" s="78"/>
      <c r="F299" s="78"/>
      <c r="G299" s="78"/>
      <c r="H299" s="78"/>
      <c r="I299" s="78"/>
      <c r="J299" s="78"/>
      <c r="K299" s="206"/>
      <c r="L299" s="207"/>
      <c r="M299" s="206"/>
      <c r="N299" s="207"/>
      <c r="O299" s="206"/>
      <c r="P299" s="207"/>
      <c r="Q299" s="206"/>
      <c r="R299" s="207"/>
      <c r="S299" s="206"/>
      <c r="T299" s="207"/>
      <c r="U299" s="206"/>
      <c r="V299" s="207"/>
      <c r="W299" s="206"/>
      <c r="X299" s="207"/>
      <c r="Y299" s="206"/>
      <c r="Z299" s="78"/>
      <c r="AA299" s="343"/>
      <c r="AB299" s="375"/>
      <c r="AC299" s="345"/>
      <c r="AD299" s="345"/>
      <c r="AE299" s="345"/>
      <c r="AF299" s="345"/>
      <c r="AG299" s="345"/>
      <c r="AH299" s="345"/>
      <c r="AI299" s="302"/>
      <c r="AJ299" s="385">
        <f t="shared" si="135"/>
        <v>0</v>
      </c>
      <c r="AK299" s="1188"/>
      <c r="AL299" s="1122"/>
      <c r="AM299" s="31"/>
      <c r="AN299" s="1344"/>
      <c r="AO299" s="13">
        <v>203</v>
      </c>
      <c r="AP299" s="74"/>
      <c r="AQ299" s="75"/>
    </row>
    <row r="300" spans="1:43" ht="31.15" customHeight="1" x14ac:dyDescent="0.4">
      <c r="A300" s="1224"/>
      <c r="B300" s="76" t="s">
        <v>457</v>
      </c>
      <c r="C300" s="559" t="s">
        <v>459</v>
      </c>
      <c r="D300" s="77"/>
      <c r="E300" s="78"/>
      <c r="F300" s="78"/>
      <c r="G300" s="78"/>
      <c r="H300" s="78"/>
      <c r="I300" s="78"/>
      <c r="J300" s="78"/>
      <c r="K300" s="79"/>
      <c r="L300" s="78"/>
      <c r="M300" s="79"/>
      <c r="N300" s="78"/>
      <c r="O300" s="79"/>
      <c r="P300" s="78"/>
      <c r="Q300" s="79"/>
      <c r="R300" s="78"/>
      <c r="S300" s="79"/>
      <c r="T300" s="78"/>
      <c r="U300" s="79"/>
      <c r="V300" s="78"/>
      <c r="W300" s="79"/>
      <c r="X300" s="78"/>
      <c r="Y300" s="79"/>
      <c r="Z300" s="78"/>
      <c r="AA300" s="343"/>
      <c r="AB300" s="375"/>
      <c r="AC300" s="345"/>
      <c r="AD300" s="345"/>
      <c r="AE300" s="345"/>
      <c r="AF300" s="345"/>
      <c r="AG300" s="345"/>
      <c r="AH300" s="345"/>
      <c r="AI300" s="302"/>
      <c r="AJ300" s="385">
        <f t="shared" si="135"/>
        <v>0</v>
      </c>
      <c r="AK300" s="30" t="str">
        <f>CONCATENATE(IF(D301&gt;D300," * Retesting at ANC 2 and above For age "&amp;$D$20&amp;" "&amp;$D$21&amp;" is less than  than Retesting positive result at ANC 2 and above"&amp;CHAR(10),""),IF(E301&gt;E300," * Retesting at ANC 2 and above For age "&amp;$D$20&amp;" "&amp;$E$21&amp;" is less than  than Retesting positive result at ANC 2 and above"&amp;CHAR(10),""),IF(F301&gt;F300," * Retesting at ANC 2 and above For age "&amp;$F$20&amp;" "&amp;$F$21&amp;" is less than  than Retesting positive result at ANC 2 and above"&amp;CHAR(10),""),IF(G301&gt;G300," * Retesting at ANC 2 and above For age "&amp;$F$20&amp;" "&amp;$G$21&amp;" is less than  than Retesting positive result at ANC 2 and above"&amp;CHAR(10),""),IF(H301&gt;H300," * Retesting at ANC 2 and above For age "&amp;$H$20&amp;" "&amp;$H$21&amp;" is less than  than Retesting positive result at ANC 2 and above"&amp;CHAR(10),""),IF(I301&gt;I300," * Retesting at ANC 2 and above For age "&amp;$H$20&amp;" "&amp;$I$21&amp;" is less than  than Retesting positive result at ANC 2 and above"&amp;CHAR(10),""),IF(J301&gt;J300," * Retesting at ANC 2 and above For age "&amp;$J$20&amp;" "&amp;$J$21&amp;" is less than  than Retesting positive result at ANC 2 and above"&amp;CHAR(10),""),IF(K301&gt;K300," * Retesting at ANC 2 and above For age "&amp;$J$20&amp;" "&amp;$K$21&amp;" is less than  than Retesting positive result at ANC 2 and above"&amp;CHAR(10),""),IF(L301&gt;L300," * Retesting at ANC 2 and above For age "&amp;$L$20&amp;" "&amp;$L$21&amp;" is less than  than Retesting positive result at ANC 2 and above"&amp;CHAR(10),""),IF(M301&gt;M300," * Retesting at ANC 2 and above For age "&amp;$L$20&amp;" "&amp;$M$21&amp;" is less than  than Retesting positive result at ANC 2 and above"&amp;CHAR(10),""),IF(N301&gt;N300," * Retesting at ANC 2 and above For age "&amp;$N$20&amp;" "&amp;$N$21&amp;" is less than  than Retesting positive result at ANC 2 and above"&amp;CHAR(10),""),IF(O301&gt;O300," * Retesting at ANC 2 and above For age "&amp;$N$20&amp;" "&amp;$O$21&amp;" is less than  than Retesting positive result at ANC 2 and above"&amp;CHAR(10),""),IF(P301&gt;P300," * Retesting at ANC 2 and above For age "&amp;$P$20&amp;" "&amp;$P$21&amp;" is less than  than Retesting positive result at ANC 2 and above"&amp;CHAR(10),""),IF(Q301&gt;Q300," * Retesting at ANC 2 and above For age "&amp;$P$20&amp;" "&amp;$Q$21&amp;" is less than  than Retesting positive result at ANC 2 and above"&amp;CHAR(10),""),IF(R301&gt;R300," * Retesting at ANC 2 and above For age "&amp;$R$20&amp;" "&amp;$R$21&amp;" is less than  than Retesting positive result at ANC 2 and above"&amp;CHAR(10),""),IF(S301&gt;S300," * Retesting at ANC 2 and above For age "&amp;$R$20&amp;" "&amp;$S$21&amp;" is less than  than Retesting positive result at ANC 2 and above"&amp;CHAR(10),""),IF(T301&gt;T300," * Retesting at ANC 2 and above For age "&amp;$T$20&amp;" "&amp;$T$21&amp;" is less than  than Retesting positive result at ANC 2 and above"&amp;CHAR(10),""),IF(U301&gt;U300," * Retesting at ANC 2 and above For age "&amp;$T$20&amp;" "&amp;$U$21&amp;" is less than  than Retesting positive result at ANC 2 and above"&amp;CHAR(10),""),IF(V301&gt;V300," * Retesting at ANC 2 and above For age "&amp;$V$20&amp;" "&amp;$V$21&amp;" is less than  than Retesting positive result at ANC 2 and above"&amp;CHAR(10),""),IF(W301&gt;W300," * Retesting at ANC 2 and above For age "&amp;$V$20&amp;" "&amp;$W$21&amp;" is less than  than Retesting positive result at ANC 2 and above"&amp;CHAR(10),""),IF(X301&gt;X300," * Retesting at ANC 2 and above For age "&amp;$X$20&amp;" "&amp;$X$21&amp;" is less than  than Retesting positive result at ANC 2 and above"&amp;CHAR(10),""),IF(Y301&gt;Y300," * Retesting at ANC 2 and above For age "&amp;$X$20&amp;" "&amp;$Y$21&amp;" is less than  than Retesting positive result at ANC 2 and above"&amp;CHAR(10),""),IF(Z301&gt;Z300," * Retesting at ANC 2 and above For age "&amp;$Z$20&amp;" "&amp;$Z$21&amp;" is less than  than Retesting positive result at ANC 2 and above"&amp;CHAR(10),""),IF(AA301&gt;AA300," * Retesting at ANC 2 and above For age "&amp;$Z$20&amp;" "&amp;$AA$21&amp;" is less than  than Retesting positive result at ANC 2 and above"&amp;CHAR(10),""))</f>
        <v/>
      </c>
      <c r="AL300" s="1122"/>
      <c r="AM300" s="31"/>
      <c r="AN300" s="1344"/>
      <c r="AO300" s="13">
        <v>204</v>
      </c>
      <c r="AP300" s="74"/>
      <c r="AQ300" s="75"/>
    </row>
    <row r="301" spans="1:43" ht="27" thickBot="1" x14ac:dyDescent="0.45">
      <c r="A301" s="1110"/>
      <c r="B301" s="95" t="s">
        <v>458</v>
      </c>
      <c r="C301" s="560" t="s">
        <v>460</v>
      </c>
      <c r="D301" s="103"/>
      <c r="E301" s="102"/>
      <c r="F301" s="102"/>
      <c r="G301" s="102"/>
      <c r="H301" s="102"/>
      <c r="I301" s="102"/>
      <c r="J301" s="215"/>
      <c r="K301" s="97"/>
      <c r="L301" s="215"/>
      <c r="M301" s="97"/>
      <c r="N301" s="215"/>
      <c r="O301" s="97"/>
      <c r="P301" s="215"/>
      <c r="Q301" s="97"/>
      <c r="R301" s="215"/>
      <c r="S301" s="97"/>
      <c r="T301" s="215"/>
      <c r="U301" s="97"/>
      <c r="V301" s="215"/>
      <c r="W301" s="97"/>
      <c r="X301" s="215"/>
      <c r="Y301" s="97"/>
      <c r="Z301" s="102"/>
      <c r="AA301" s="313"/>
      <c r="AB301" s="375"/>
      <c r="AC301" s="345"/>
      <c r="AD301" s="345"/>
      <c r="AE301" s="345"/>
      <c r="AF301" s="345"/>
      <c r="AG301" s="345"/>
      <c r="AH301" s="345"/>
      <c r="AI301" s="302"/>
      <c r="AJ301" s="386">
        <f t="shared" si="135"/>
        <v>0</v>
      </c>
      <c r="AK301" s="130"/>
      <c r="AL301" s="1122"/>
      <c r="AM301" s="31"/>
      <c r="AN301" s="1344"/>
      <c r="AO301" s="13">
        <v>205</v>
      </c>
      <c r="AP301" s="74"/>
      <c r="AQ301" s="75"/>
    </row>
    <row r="302" spans="1:43" ht="26.25" x14ac:dyDescent="0.4">
      <c r="A302" s="1360" t="s">
        <v>461</v>
      </c>
      <c r="B302" s="91" t="s">
        <v>655</v>
      </c>
      <c r="C302" s="558" t="s">
        <v>344</v>
      </c>
      <c r="D302" s="98"/>
      <c r="E302" s="99"/>
      <c r="F302" s="99"/>
      <c r="G302" s="99"/>
      <c r="H302" s="99"/>
      <c r="I302" s="99"/>
      <c r="J302" s="99"/>
      <c r="K302" s="94"/>
      <c r="L302" s="99"/>
      <c r="M302" s="94"/>
      <c r="N302" s="99"/>
      <c r="O302" s="94"/>
      <c r="P302" s="99"/>
      <c r="Q302" s="94"/>
      <c r="R302" s="99"/>
      <c r="S302" s="94"/>
      <c r="T302" s="99"/>
      <c r="U302" s="94"/>
      <c r="V302" s="99"/>
      <c r="W302" s="94"/>
      <c r="X302" s="99"/>
      <c r="Y302" s="94"/>
      <c r="Z302" s="99"/>
      <c r="AA302" s="312"/>
      <c r="AB302" s="375"/>
      <c r="AC302" s="345"/>
      <c r="AD302" s="345"/>
      <c r="AE302" s="345"/>
      <c r="AF302" s="345"/>
      <c r="AG302" s="345"/>
      <c r="AH302" s="345"/>
      <c r="AI302" s="302"/>
      <c r="AJ302" s="387">
        <f t="shared" si="135"/>
        <v>0</v>
      </c>
      <c r="AK302" s="1188" t="str">
        <f>CONCATENATE(IF(D303&gt;D302," * F06-08 for Age "&amp;D20&amp;" "&amp;D21&amp;" is more than F06-07"&amp;CHAR(10),""),IF(E303&gt;E302," * F06-08 for Age "&amp;D20&amp;" "&amp;E21&amp;" is more than F06-07"&amp;CHAR(10),""),IF(F303&gt;F302," * F06-08 for Age "&amp;F20&amp;" "&amp;F21&amp;" is more than F06-07"&amp;CHAR(10),""),IF(G303&gt;G302," * F06-08 for Age "&amp;F20&amp;" "&amp;G21&amp;" is more than F06-07"&amp;CHAR(10),""),IF(H303&gt;H302," * F06-08 for Age "&amp;H20&amp;" "&amp;H21&amp;" is more than F06-07"&amp;CHAR(10),""),IF(I303&gt;I302," * F06-08 for Age "&amp;H20&amp;" "&amp;I21&amp;" is more than F06-07"&amp;CHAR(10),""),IF(J303&gt;J302," * F06-08 for Age "&amp;J20&amp;" "&amp;J21&amp;" is more than F06-07"&amp;CHAR(10),""),IF(K303&gt;K302," * F06-08 for Age "&amp;J20&amp;" "&amp;K21&amp;" is more than F06-07"&amp;CHAR(10),""),IF(L303&gt;L302," * F06-08 for Age "&amp;L20&amp;" "&amp;L21&amp;" is more than F06-07"&amp;CHAR(10),""),IF(M303&gt;M302," * F06-08 for Age "&amp;L20&amp;" "&amp;M21&amp;" is more than F06-07"&amp;CHAR(10),""),IF(N303&gt;N302," * F06-08 for Age "&amp;N20&amp;" "&amp;N21&amp;" is more than F06-07"&amp;CHAR(10),""),IF(O303&gt;O302," * F06-08 for Age "&amp;N20&amp;" "&amp;O21&amp;" is more than F06-07"&amp;CHAR(10),""),IF(P303&gt;P302," * F06-08 for Age "&amp;P20&amp;" "&amp;P21&amp;" is more than F06-07"&amp;CHAR(10),""),IF(Q303&gt;Q302," * F06-08 for Age "&amp;P20&amp;" "&amp;Q21&amp;" is more than F06-07"&amp;CHAR(10),""),IF(R303&gt;R302," * F06-08 for Age "&amp;R20&amp;" "&amp;R21&amp;" is more than F06-07"&amp;CHAR(10),""),IF(S303&gt;S302," * F06-08 for Age "&amp;R20&amp;" "&amp;S21&amp;" is more than F06-07"&amp;CHAR(10),""),IF(T303&gt;T302," * F06-08 for Age "&amp;T20&amp;" "&amp;T21&amp;" is more than F06-07"&amp;CHAR(10),""),IF(U303&gt;U302," * F06-08 for Age "&amp;T20&amp;" "&amp;U21&amp;" is more than F06-07"&amp;CHAR(10),""),IF(V303&gt;V302," * F06-08 for Age "&amp;V20&amp;" "&amp;V21&amp;" is more than F06-07"&amp;CHAR(10),""),IF(W303&gt;W302," * F06-08 for Age "&amp;V20&amp;" "&amp;W21&amp;" is more than F06-07"&amp;CHAR(10),""),IF(X303&gt;X302," * F06-08 for Age "&amp;X20&amp;" "&amp;X21&amp;" is more than F06-07"&amp;CHAR(10),""),IF(Y303&gt;Y302," * F06-08 for Age "&amp;X20&amp;" "&amp;Y21&amp;" is more than F06-07"&amp;CHAR(10),""),IF(Z303&gt;Z302," * F06-08 for Age "&amp;Z20&amp;" "&amp;Z21&amp;" is more than F06-07"&amp;CHAR(10),""),IF(AA303&gt;AA302," * F06-08 for Age "&amp;Z20&amp;" "&amp;AA21&amp;" is more than F06-07"&amp;CHAR(10),""),IF(AJ303&gt;AJ302," * Total F06-08 is more than Total F06-07"&amp;CHAR(10),""))</f>
        <v/>
      </c>
      <c r="AL302" s="1122"/>
      <c r="AM302" s="31"/>
      <c r="AN302" s="1344"/>
      <c r="AO302" s="13">
        <v>206</v>
      </c>
      <c r="AP302" s="74"/>
      <c r="AQ302" s="75"/>
    </row>
    <row r="303" spans="1:43" ht="26.25" x14ac:dyDescent="0.4">
      <c r="A303" s="1361"/>
      <c r="B303" s="214" t="s">
        <v>656</v>
      </c>
      <c r="C303" s="559" t="s">
        <v>345</v>
      </c>
      <c r="D303" s="77"/>
      <c r="E303" s="78"/>
      <c r="F303" s="78"/>
      <c r="G303" s="78"/>
      <c r="H303" s="78"/>
      <c r="I303" s="78"/>
      <c r="J303" s="78"/>
      <c r="K303" s="206"/>
      <c r="L303" s="207"/>
      <c r="M303" s="206"/>
      <c r="N303" s="207"/>
      <c r="O303" s="206"/>
      <c r="P303" s="207"/>
      <c r="Q303" s="206"/>
      <c r="R303" s="207"/>
      <c r="S303" s="206"/>
      <c r="T303" s="207"/>
      <c r="U303" s="206"/>
      <c r="V303" s="207"/>
      <c r="W303" s="206"/>
      <c r="X303" s="207"/>
      <c r="Y303" s="206"/>
      <c r="Z303" s="207"/>
      <c r="AA303" s="343"/>
      <c r="AB303" s="375"/>
      <c r="AC303" s="345"/>
      <c r="AD303" s="345"/>
      <c r="AE303" s="345"/>
      <c r="AF303" s="345"/>
      <c r="AG303" s="345"/>
      <c r="AH303" s="345"/>
      <c r="AI303" s="302"/>
      <c r="AJ303" s="385">
        <f t="shared" si="135"/>
        <v>0</v>
      </c>
      <c r="AK303" s="1188"/>
      <c r="AL303" s="1122"/>
      <c r="AM303" s="31"/>
      <c r="AN303" s="1344"/>
      <c r="AO303" s="13">
        <v>207</v>
      </c>
      <c r="AP303" s="74"/>
      <c r="AQ303" s="75"/>
    </row>
    <row r="304" spans="1:43" ht="26.25" x14ac:dyDescent="0.4">
      <c r="A304" s="1361"/>
      <c r="B304" s="76" t="s">
        <v>657</v>
      </c>
      <c r="C304" s="559" t="s">
        <v>608</v>
      </c>
      <c r="D304" s="77"/>
      <c r="E304" s="78"/>
      <c r="F304" s="78"/>
      <c r="G304" s="78"/>
      <c r="H304" s="78"/>
      <c r="I304" s="78"/>
      <c r="J304" s="78"/>
      <c r="K304" s="79"/>
      <c r="L304" s="78"/>
      <c r="M304" s="79"/>
      <c r="N304" s="78"/>
      <c r="O304" s="79"/>
      <c r="P304" s="78"/>
      <c r="Q304" s="79"/>
      <c r="R304" s="78"/>
      <c r="S304" s="79"/>
      <c r="T304" s="78"/>
      <c r="U304" s="79"/>
      <c r="V304" s="78"/>
      <c r="W304" s="79"/>
      <c r="X304" s="78"/>
      <c r="Y304" s="79"/>
      <c r="Z304" s="78"/>
      <c r="AA304" s="343"/>
      <c r="AB304" s="375"/>
      <c r="AC304" s="345"/>
      <c r="AD304" s="345"/>
      <c r="AE304" s="345"/>
      <c r="AF304" s="345"/>
      <c r="AG304" s="345"/>
      <c r="AH304" s="345"/>
      <c r="AI304" s="302"/>
      <c r="AJ304" s="385">
        <f t="shared" si="135"/>
        <v>0</v>
      </c>
      <c r="AK304" s="30" t="str">
        <f>CONCATENATE(IF(D305&gt;D304," * Retesting at L&amp;D For age "&amp;$D$20&amp;" "&amp;$D$21&amp;" is less than  than Retesting positive result at L&amp;D"&amp;CHAR(10),""),IF(E305&gt;E304," * Retesting at L&amp;D For age "&amp;$D$20&amp;" "&amp;$E$21&amp;" is less than  than Retesting positive result at L&amp;D"&amp;CHAR(10),""),IF(F305&gt;F304," * Retesting at L&amp;D For age "&amp;$F$20&amp;" "&amp;$F$21&amp;" is less than  than Retesting positive result at L&amp;D"&amp;CHAR(10),""),IF(G305&gt;G304," * Retesting at L&amp;D For age "&amp;$F$20&amp;" "&amp;$G$21&amp;" is less than  than Retesting positive result at L&amp;D"&amp;CHAR(10),""),IF(H305&gt;H304," * Retesting at L&amp;D For age "&amp;$H$20&amp;" "&amp;$H$21&amp;" is less than  than Retesting positive result at L&amp;D"&amp;CHAR(10),""),IF(I305&gt;I304," * Retesting at L&amp;D For age "&amp;$H$20&amp;" "&amp;$I$21&amp;" is less than  than Retesting positive result at L&amp;D"&amp;CHAR(10),""),IF(J305&gt;J304," * Retesting at L&amp;D For age "&amp;$J$20&amp;" "&amp;$J$21&amp;" is less than  than Retesting positive result at L&amp;D"&amp;CHAR(10),""),IF(K305&gt;K304," * Retesting at L&amp;D For age "&amp;$J$20&amp;" "&amp;$K$21&amp;" is less than  than Retesting positive result at L&amp;D"&amp;CHAR(10),""),IF(L305&gt;L304," * Retesting at L&amp;D For age "&amp;$L$20&amp;" "&amp;$L$21&amp;" is less than  than Retesting positive result at L&amp;D"&amp;CHAR(10),""),IF(M305&gt;M304," * Retesting at L&amp;D For age "&amp;$L$20&amp;" "&amp;$M$21&amp;" is less than  than Retesting positive result at L&amp;D"&amp;CHAR(10),""),IF(N305&gt;N304," * Retesting at L&amp;D For age "&amp;$N$20&amp;" "&amp;$N$21&amp;" is less than  than Retesting positive result at L&amp;D"&amp;CHAR(10),""),IF(O305&gt;O304," * Retesting at L&amp;D For age "&amp;$N$20&amp;" "&amp;$O$21&amp;" is less than  than Retesting positive result at L&amp;D"&amp;CHAR(10),""),IF(P305&gt;P304," * Retesting at L&amp;D For age "&amp;$P$20&amp;" "&amp;$P$21&amp;" is less than  than Retesting positive result at L&amp;D"&amp;CHAR(10),""),IF(Q305&gt;Q304," * Retesting at L&amp;D For age "&amp;$P$20&amp;" "&amp;$Q$21&amp;" is less than  than Retesting positive result at L&amp;D"&amp;CHAR(10),""),IF(R305&gt;R304," * Retesting at L&amp;D For age "&amp;$R$20&amp;" "&amp;$R$21&amp;" is less than  than Retesting positive result at L&amp;D"&amp;CHAR(10),""),IF(S305&gt;S304," * Retesting at L&amp;D For age "&amp;$R$20&amp;" "&amp;$S$21&amp;" is less than  than Retesting positive result at L&amp;D"&amp;CHAR(10),""),IF(T305&gt;T304," * Retesting at L&amp;D For age "&amp;$T$20&amp;" "&amp;$T$21&amp;" is less than  than Retesting positive result at L&amp;D"&amp;CHAR(10),""),IF(U305&gt;U304," * Retesting at L&amp;D For age "&amp;$T$20&amp;" "&amp;$U$21&amp;" is less than  than Retesting positive result at L&amp;D"&amp;CHAR(10),""),IF(V305&gt;V304," * Retesting at L&amp;D For age "&amp;$V$20&amp;" "&amp;$V$21&amp;" is less than  than Retesting positive result at L&amp;D"&amp;CHAR(10),""),IF(W305&gt;W304," * Retesting at L&amp;D For age "&amp;$V$20&amp;" "&amp;$W$21&amp;" is less than  than Retesting positive result at L&amp;D"&amp;CHAR(10),""),IF(X305&gt;X304," * Retesting at L&amp;D For age "&amp;$X$20&amp;" "&amp;$X$21&amp;" is less than  than Retesting positive result at L&amp;D"&amp;CHAR(10),""),IF(Y305&gt;Y304," * Retesting at L&amp;D For age "&amp;$X$20&amp;" "&amp;$Y$21&amp;" is less than  than Retesting positive result at L&amp;D"&amp;CHAR(10),""),IF(Z305&gt;Z304," * Retesting at L&amp;D For age "&amp;$Z$20&amp;" "&amp;$Z$21&amp;" is less than  than Retesting positive result at L&amp;D"&amp;CHAR(10),""),IF(AA305&gt;AA304," * Retesting at L&amp;D For age "&amp;$Z$20&amp;" "&amp;$AA$21&amp;" is less than  than Retesting positive result at L&amp;D"&amp;CHAR(10),""))</f>
        <v/>
      </c>
      <c r="AL304" s="1122"/>
      <c r="AM304" s="31"/>
      <c r="AN304" s="1344"/>
      <c r="AO304" s="13">
        <v>208</v>
      </c>
      <c r="AP304" s="74"/>
      <c r="AQ304" s="75"/>
    </row>
    <row r="305" spans="1:43" ht="27" thickBot="1" x14ac:dyDescent="0.45">
      <c r="A305" s="1362"/>
      <c r="B305" s="95" t="s">
        <v>658</v>
      </c>
      <c r="C305" s="560" t="s">
        <v>609</v>
      </c>
      <c r="D305" s="103"/>
      <c r="E305" s="102"/>
      <c r="F305" s="102"/>
      <c r="G305" s="102"/>
      <c r="H305" s="102"/>
      <c r="I305" s="102"/>
      <c r="J305" s="102"/>
      <c r="K305" s="97"/>
      <c r="L305" s="215"/>
      <c r="M305" s="97"/>
      <c r="N305" s="215"/>
      <c r="O305" s="97"/>
      <c r="P305" s="215"/>
      <c r="Q305" s="97"/>
      <c r="R305" s="215"/>
      <c r="S305" s="97"/>
      <c r="T305" s="215"/>
      <c r="U305" s="97"/>
      <c r="V305" s="215"/>
      <c r="W305" s="97"/>
      <c r="X305" s="215"/>
      <c r="Y305" s="97"/>
      <c r="Z305" s="215"/>
      <c r="AA305" s="313"/>
      <c r="AB305" s="375"/>
      <c r="AC305" s="345"/>
      <c r="AD305" s="345"/>
      <c r="AE305" s="345"/>
      <c r="AF305" s="345"/>
      <c r="AG305" s="345"/>
      <c r="AH305" s="345"/>
      <c r="AI305" s="302"/>
      <c r="AJ305" s="385">
        <f t="shared" si="135"/>
        <v>0</v>
      </c>
      <c r="AK305" s="116"/>
      <c r="AL305" s="1122"/>
      <c r="AM305" s="31"/>
      <c r="AN305" s="1344"/>
      <c r="AO305" s="13">
        <v>209</v>
      </c>
      <c r="AP305" s="74"/>
      <c r="AQ305" s="75"/>
    </row>
    <row r="306" spans="1:43" ht="26.25" x14ac:dyDescent="0.4">
      <c r="A306" s="1124" t="s">
        <v>464</v>
      </c>
      <c r="B306" s="91" t="s">
        <v>659</v>
      </c>
      <c r="C306" s="558" t="s">
        <v>261</v>
      </c>
      <c r="D306" s="98"/>
      <c r="E306" s="99"/>
      <c r="F306" s="99"/>
      <c r="G306" s="99"/>
      <c r="H306" s="99"/>
      <c r="I306" s="99"/>
      <c r="J306" s="99"/>
      <c r="K306" s="94"/>
      <c r="L306" s="99"/>
      <c r="M306" s="94"/>
      <c r="N306" s="99"/>
      <c r="O306" s="94"/>
      <c r="P306" s="99"/>
      <c r="Q306" s="94"/>
      <c r="R306" s="99"/>
      <c r="S306" s="94"/>
      <c r="T306" s="99"/>
      <c r="U306" s="94"/>
      <c r="V306" s="99"/>
      <c r="W306" s="94"/>
      <c r="X306" s="99"/>
      <c r="Y306" s="94"/>
      <c r="Z306" s="99"/>
      <c r="AA306" s="312"/>
      <c r="AB306" s="375"/>
      <c r="AC306" s="345"/>
      <c r="AD306" s="345"/>
      <c r="AE306" s="345"/>
      <c r="AF306" s="345"/>
      <c r="AG306" s="345"/>
      <c r="AH306" s="345"/>
      <c r="AI306" s="302"/>
      <c r="AJ306" s="387">
        <f t="shared" si="135"/>
        <v>0</v>
      </c>
      <c r="AK306" s="1188" t="str">
        <f>CONCATENATE(IF(D307&gt;D306," * Positive at PNC &lt;=6wks for Age "&amp;D20&amp;" "&amp;D21&amp;" is more than Initial test at PNC &lt;= 6wks"&amp;CHAR(10),""),IF(E307&gt;E306," * Positive at PNC &lt;=6wks for Age "&amp;D20&amp;" "&amp;E21&amp;" is more than Initial test at PNC &lt;= 6wks"&amp;CHAR(10),""),IF(F307&gt;F306," * Positive at PNC &lt;=6wks for Age "&amp;F20&amp;" "&amp;F21&amp;" is more than Initial test at PNC &lt;= 6wks"&amp;CHAR(10),""),IF(G307&gt;G306," * Positive at PNC &lt;=6wks for Age "&amp;F20&amp;" "&amp;G21&amp;" is more than Initial test at PNC &lt;= 6wks"&amp;CHAR(10),""),IF(H307&gt;H306," * Positive at PNC &lt;=6wks for Age "&amp;H20&amp;" "&amp;H21&amp;" is more than Initial test at PNC &lt;= 6wks"&amp;CHAR(10),""),IF(I307&gt;I306," * Positive at PNC &lt;=6wks for Age "&amp;H20&amp;" "&amp;I21&amp;" is more than Initial test at PNC &lt;= 6wks"&amp;CHAR(10),""),IF(J307&gt;J306," * Positive at PNC &lt;=6wks for Age "&amp;J20&amp;" "&amp;J21&amp;" is more than Initial test at PNC &lt;= 6wks"&amp;CHAR(10),""),IF(K307&gt;K306," * Positive at PNC &lt;=6wks for Age "&amp;J20&amp;" "&amp;K21&amp;" is more than Initial test at PNC &lt;= 6wks"&amp;CHAR(10),""),IF(L307&gt;L306," * Positive at PNC &lt;=6wks for Age "&amp;L20&amp;" "&amp;L21&amp;" is more than Initial test at PNC &lt;= 6wks"&amp;CHAR(10),""),IF(M307&gt;M306," * Positive at PNC &lt;=6wks for Age "&amp;L20&amp;" "&amp;M21&amp;" is more than Initial test at PNC &lt;= 6wks"&amp;CHAR(10),""),IF(N307&gt;N306," * Positive at PNC &lt;=6wks for Age "&amp;N20&amp;" "&amp;N21&amp;" is more than Initial test at PNC &lt;= 6wks"&amp;CHAR(10),""),IF(O307&gt;O306," * Positive at PNC &lt;=6wks for Age "&amp;N20&amp;" "&amp;O21&amp;" is more than Initial test at PNC &lt;= 6wks"&amp;CHAR(10),""),IF(P307&gt;P306," * Positive at PNC &lt;=6wks for Age "&amp;P20&amp;" "&amp;P21&amp;" is more than Initial test at PNC &lt;= 6wks"&amp;CHAR(10),""),IF(Q307&gt;Q306," * Positive at PNC &lt;=6wks for Age "&amp;P20&amp;" "&amp;Q21&amp;" is more than Initial test at PNC &lt;= 6wks"&amp;CHAR(10),""),IF(R307&gt;R306," * Positive at PNC &lt;=6wks for Age "&amp;R20&amp;" "&amp;R21&amp;" is more than Initial test at PNC &lt;= 6wks"&amp;CHAR(10),""),IF(S307&gt;S306," * Positive at PNC &lt;=6wks for Age "&amp;R20&amp;" "&amp;S21&amp;" is more than Initial test at PNC &lt;= 6wks"&amp;CHAR(10),""),IF(T307&gt;T306," * Positive at PNC &lt;=6wks for Age "&amp;T20&amp;" "&amp;T21&amp;" is more than Initial test at PNC &lt;= 6wks"&amp;CHAR(10),""),IF(U307&gt;U306," * Positive at PNC &lt;=6wks for Age "&amp;T20&amp;" "&amp;U21&amp;" is more than Initial test at PNC &lt;= 6wks"&amp;CHAR(10),""),IF(V307&gt;V306," * Positive at PNC &lt;=6wks for Age "&amp;V20&amp;" "&amp;V21&amp;" is more than Initial test at PNC &lt;= 6wks"&amp;CHAR(10),""),IF(W307&gt;W306," * Positive at PNC &lt;=6wks for Age "&amp;V20&amp;" "&amp;W21&amp;" is more than Initial test at PNC &lt;= 6wks"&amp;CHAR(10),""),IF(X307&gt;X306," * Positive at PNC &lt;=6wks for Age "&amp;X20&amp;" "&amp;X21&amp;" is more than Initial test at PNC &lt;= 6wks"&amp;CHAR(10),""),IF(Y307&gt;Y306," * Positive at PNC &lt;=6wks for Age "&amp;X20&amp;" "&amp;Y21&amp;" is more than Initial test at PNC &lt;= 6wks"&amp;CHAR(10),""),IF(Z307&gt;Z306," * Positive at PNC &lt;=6wks for Age "&amp;Z20&amp;" "&amp;Z21&amp;" is more than Initial test at PNC &lt;= 6wks"&amp;CHAR(10),""),IF(AA307&gt;AA306," * Positive at PNC &lt;=6wks for Age "&amp;Z20&amp;" "&amp;AA21&amp;" is more than Initial test at PNC &lt;= 6wks"&amp;CHAR(10),""))</f>
        <v/>
      </c>
      <c r="AL306" s="1122"/>
      <c r="AM306" s="31"/>
      <c r="AN306" s="1344"/>
      <c r="AO306" s="13">
        <v>210</v>
      </c>
      <c r="AP306" s="74"/>
      <c r="AQ306" s="75"/>
    </row>
    <row r="307" spans="1:43" ht="26.25" x14ac:dyDescent="0.4">
      <c r="A307" s="1125"/>
      <c r="B307" s="214" t="s">
        <v>660</v>
      </c>
      <c r="C307" s="559" t="s">
        <v>263</v>
      </c>
      <c r="D307" s="216"/>
      <c r="E307" s="217"/>
      <c r="F307" s="217"/>
      <c r="G307" s="217"/>
      <c r="H307" s="217"/>
      <c r="I307" s="217"/>
      <c r="J307" s="207"/>
      <c r="K307" s="206"/>
      <c r="L307" s="207"/>
      <c r="M307" s="206"/>
      <c r="N307" s="207"/>
      <c r="O307" s="206"/>
      <c r="P307" s="207"/>
      <c r="Q307" s="206"/>
      <c r="R307" s="207"/>
      <c r="S307" s="206"/>
      <c r="T307" s="207"/>
      <c r="U307" s="206"/>
      <c r="V307" s="207"/>
      <c r="W307" s="206"/>
      <c r="X307" s="207"/>
      <c r="Y307" s="206"/>
      <c r="Z307" s="207"/>
      <c r="AA307" s="343"/>
      <c r="AB307" s="375"/>
      <c r="AC307" s="345"/>
      <c r="AD307" s="345"/>
      <c r="AE307" s="345"/>
      <c r="AF307" s="345"/>
      <c r="AG307" s="345"/>
      <c r="AH307" s="345"/>
      <c r="AI307" s="302"/>
      <c r="AJ307" s="385">
        <f t="shared" si="135"/>
        <v>0</v>
      </c>
      <c r="AK307" s="1188"/>
      <c r="AL307" s="1122"/>
      <c r="AM307" s="31"/>
      <c r="AN307" s="1344"/>
      <c r="AO307" s="13">
        <v>211</v>
      </c>
      <c r="AP307" s="74"/>
      <c r="AQ307" s="75"/>
    </row>
    <row r="308" spans="1:43" s="61" customFormat="1" ht="26.25" x14ac:dyDescent="0.4">
      <c r="A308" s="1125"/>
      <c r="B308" s="76" t="s">
        <v>462</v>
      </c>
      <c r="C308" s="559" t="s">
        <v>465</v>
      </c>
      <c r="D308" s="77"/>
      <c r="E308" s="78"/>
      <c r="F308" s="78"/>
      <c r="G308" s="78"/>
      <c r="H308" s="78"/>
      <c r="I308" s="78"/>
      <c r="J308" s="78"/>
      <c r="K308" s="79"/>
      <c r="L308" s="78"/>
      <c r="M308" s="79"/>
      <c r="N308" s="78"/>
      <c r="O308" s="79"/>
      <c r="P308" s="78"/>
      <c r="Q308" s="79"/>
      <c r="R308" s="78"/>
      <c r="S308" s="79"/>
      <c r="T308" s="78"/>
      <c r="U308" s="79"/>
      <c r="V308" s="78"/>
      <c r="W308" s="79"/>
      <c r="X308" s="78"/>
      <c r="Y308" s="79"/>
      <c r="Z308" s="78"/>
      <c r="AA308" s="343"/>
      <c r="AB308" s="375"/>
      <c r="AC308" s="345"/>
      <c r="AD308" s="345"/>
      <c r="AE308" s="345"/>
      <c r="AF308" s="345"/>
      <c r="AG308" s="345"/>
      <c r="AH308" s="345"/>
      <c r="AI308" s="302"/>
      <c r="AJ308" s="385">
        <f t="shared" si="135"/>
        <v>0</v>
      </c>
      <c r="AK308" s="30" t="str">
        <f>CONCATENATE(IF(D309&gt;D308," * Retesting at PNC &lt; = 6 weeks For age "&amp;$D$20&amp;" "&amp;$D$21&amp;" is less than  than Retesting positive result at PNC &lt; = 6 weeks"&amp;CHAR(10),""),IF(E309&gt;E308," * Retesting at PNC &lt; = 6 weeks For age "&amp;$D$20&amp;" "&amp;$E$21&amp;" is less than  than Retesting positive result at PNC &lt; = 6 weeks"&amp;CHAR(10),""),IF(F309&gt;F308," * Retesting at PNC &lt; = 6 weeks For age "&amp;$F$20&amp;" "&amp;$F$21&amp;" is less than  than Retesting positive result at PNC &lt; = 6 weeks"&amp;CHAR(10),""),IF(G309&gt;G308," * Retesting at PNC &lt; = 6 weeks For age "&amp;$F$20&amp;" "&amp;$G$21&amp;" is less than  than Retesting positive result at PNC &lt; = 6 weeks"&amp;CHAR(10),""),IF(H309&gt;H308," * Retesting at PNC &lt; = 6 weeks For age "&amp;$H$20&amp;" "&amp;$H$21&amp;" is less than  than Retesting positive result at PNC &lt; = 6 weeks"&amp;CHAR(10),""),IF(I309&gt;I308," * Retesting at PNC &lt; = 6 weeks For age "&amp;$H$20&amp;" "&amp;$I$21&amp;" is less than  than Retesting positive result at PNC &lt; = 6 weeks"&amp;CHAR(10),""),IF(J309&gt;J308," * Retesting at PNC &lt; = 6 weeks For age "&amp;$J$20&amp;" "&amp;$J$21&amp;" is less than  than Retesting positive result at PNC &lt; = 6 weeks"&amp;CHAR(10),""),IF(K309&gt;K308," * Retesting at PNC &lt; = 6 weeks For age "&amp;$J$20&amp;" "&amp;$K$21&amp;" is less than  than Retesting positive result at PNC &lt; = 6 weeks"&amp;CHAR(10),""),IF(L309&gt;L308," * Retesting at PNC &lt; = 6 weeks For age "&amp;$L$20&amp;" "&amp;$L$21&amp;" is less than  than Retesting positive result at PNC &lt; = 6 weeks"&amp;CHAR(10),""),IF(M309&gt;M308," * Retesting at PNC &lt; = 6 weeks For age "&amp;$L$20&amp;" "&amp;$M$21&amp;" is less than  than Retesting positive result at PNC &lt; = 6 weeks"&amp;CHAR(10),""),IF(N309&gt;N308," * Retesting at PNC &lt; = 6 weeks For age "&amp;$N$20&amp;" "&amp;$N$21&amp;" is less than  than Retesting positive result at PNC &lt; = 6 weeks"&amp;CHAR(10),""),IF(O309&gt;O308," * Retesting at PNC &lt; = 6 weeks For age "&amp;$N$20&amp;" "&amp;$O$21&amp;" is less than  than Retesting positive result at PNC &lt; = 6 weeks"&amp;CHAR(10),""),IF(P309&gt;P308," * Retesting at PNC &lt; = 6 weeks For age "&amp;$P$20&amp;" "&amp;$P$21&amp;" is less than  than Retesting positive result at PNC &lt; = 6 weeks"&amp;CHAR(10),""),IF(Q309&gt;Q308," * Retesting at PNC &lt; = 6 weeks For age "&amp;$P$20&amp;" "&amp;$Q$21&amp;" is less than  than Retesting positive result at PNC &lt; = 6 weeks"&amp;CHAR(10),""),IF(R309&gt;R308," * Retesting at PNC &lt; = 6 weeks For age "&amp;$R$20&amp;" "&amp;$R$21&amp;" is less than  than Retesting positive result at PNC &lt; = 6 weeks"&amp;CHAR(10),""),IF(S309&gt;S308," * Retesting at PNC &lt; = 6 weeks For age "&amp;$R$20&amp;" "&amp;$S$21&amp;" is less than  than Retesting positive result at PNC &lt; = 6 weeks"&amp;CHAR(10),""),IF(T309&gt;T308," * Retesting at PNC &lt; = 6 weeks For age "&amp;$T$20&amp;" "&amp;$T$21&amp;" is less than  than Retesting positive result at PNC &lt; = 6 weeks"&amp;CHAR(10),""),IF(U309&gt;U308," * Retesting at PNC &lt; = 6 weeks For age "&amp;$T$20&amp;" "&amp;$U$21&amp;" is less than  than Retesting positive result at PNC &lt; = 6 weeks"&amp;CHAR(10),""),IF(V309&gt;V308," * Retesting at PNC &lt; = 6 weeks For age "&amp;$V$20&amp;" "&amp;$V$21&amp;" is less than  than Retesting positive result at PNC &lt; = 6 weeks"&amp;CHAR(10),""),IF(W309&gt;W308," * Retesting at PNC &lt; = 6 weeks For age "&amp;$V$20&amp;" "&amp;$W$21&amp;" is less than  than Retesting positive result at PNC &lt; = 6 weeks"&amp;CHAR(10),""),IF(X309&gt;X308," * Retesting at PNC &lt; = 6 weeks For age "&amp;$X$20&amp;" "&amp;$X$21&amp;" is less than  than Retesting positive result at PNC &lt; = 6 weeks"&amp;CHAR(10),""),IF(Y309&gt;Y308," * Retesting at PNC &lt; = 6 weeks For age "&amp;$X$20&amp;" "&amp;$Y$21&amp;" is less than  than Retesting positive result at PNC &lt; = 6 weeks"&amp;CHAR(10),""),IF(Z309&gt;Z308," * Retesting at PNC &lt; = 6 weeks For age "&amp;$Z$20&amp;" "&amp;$Z$21&amp;" is less than  than Retesting positive result at PNC &lt; = 6 weeks"&amp;CHAR(10),""),IF(AA309&gt;AA308," * Retesting at PNC &lt; = 6 weeks For age "&amp;$Z$20&amp;" "&amp;$AA$21&amp;" is less than  than Retesting positive result at PNC &lt; = 6 weeks"&amp;CHAR(10),""))</f>
        <v/>
      </c>
      <c r="AL308" s="1122"/>
      <c r="AM308" s="60"/>
      <c r="AN308" s="1344"/>
      <c r="AO308" s="13">
        <v>212</v>
      </c>
      <c r="AP308" s="80"/>
      <c r="AQ308" s="75"/>
    </row>
    <row r="309" spans="1:43" ht="27" thickBot="1" x14ac:dyDescent="0.45">
      <c r="A309" s="1125"/>
      <c r="B309" s="612" t="s">
        <v>463</v>
      </c>
      <c r="C309" s="587" t="s">
        <v>466</v>
      </c>
      <c r="D309" s="133"/>
      <c r="E309" s="120"/>
      <c r="F309" s="120"/>
      <c r="G309" s="120"/>
      <c r="H309" s="630"/>
      <c r="I309" s="630"/>
      <c r="J309" s="630"/>
      <c r="K309" s="618"/>
      <c r="L309" s="630"/>
      <c r="M309" s="618"/>
      <c r="N309" s="630"/>
      <c r="O309" s="618"/>
      <c r="P309" s="630"/>
      <c r="Q309" s="618"/>
      <c r="R309" s="630"/>
      <c r="S309" s="618"/>
      <c r="T309" s="630"/>
      <c r="U309" s="618"/>
      <c r="V309" s="630"/>
      <c r="W309" s="618"/>
      <c r="X309" s="630"/>
      <c r="Y309" s="618"/>
      <c r="Z309" s="630"/>
      <c r="AA309" s="323"/>
      <c r="AB309" s="375"/>
      <c r="AC309" s="345"/>
      <c r="AD309" s="345"/>
      <c r="AE309" s="345"/>
      <c r="AF309" s="345"/>
      <c r="AG309" s="345"/>
      <c r="AH309" s="345"/>
      <c r="AI309" s="302"/>
      <c r="AJ309" s="385">
        <f t="shared" si="135"/>
        <v>0</v>
      </c>
      <c r="AK309" s="116"/>
      <c r="AL309" s="1122"/>
      <c r="AM309" s="31"/>
      <c r="AN309" s="1344"/>
      <c r="AO309" s="13">
        <v>213</v>
      </c>
      <c r="AP309" s="74"/>
      <c r="AQ309" s="75"/>
    </row>
    <row r="310" spans="1:43" ht="26.25" x14ac:dyDescent="0.4">
      <c r="A310" s="1358"/>
      <c r="B310" s="1" t="s">
        <v>1307</v>
      </c>
      <c r="C310" s="586" t="s">
        <v>467</v>
      </c>
      <c r="D310" s="98"/>
      <c r="E310" s="99"/>
      <c r="F310" s="99"/>
      <c r="G310" s="99"/>
      <c r="H310" s="99"/>
      <c r="I310" s="99"/>
      <c r="J310" s="99"/>
      <c r="K310" s="94"/>
      <c r="L310" s="99"/>
      <c r="M310" s="94"/>
      <c r="N310" s="99"/>
      <c r="O310" s="94"/>
      <c r="P310" s="99"/>
      <c r="Q310" s="94"/>
      <c r="R310" s="99"/>
      <c r="S310" s="94"/>
      <c r="T310" s="99"/>
      <c r="U310" s="94"/>
      <c r="V310" s="99"/>
      <c r="W310" s="94"/>
      <c r="X310" s="99"/>
      <c r="Y310" s="94"/>
      <c r="Z310" s="99"/>
      <c r="AA310" s="363"/>
      <c r="AB310" s="375"/>
      <c r="AC310" s="345"/>
      <c r="AD310" s="345"/>
      <c r="AE310" s="345"/>
      <c r="AF310" s="345"/>
      <c r="AG310" s="345"/>
      <c r="AH310" s="345"/>
      <c r="AI310" s="302"/>
      <c r="AJ310" s="385">
        <f t="shared" si="135"/>
        <v>0</v>
      </c>
      <c r="AK310" s="30" t="str">
        <f>CONCATENATE(IF(D311&gt;D310," * Testing at PNC &gt; 6 weeks For age "&amp;$D$20&amp;" "&amp;$D$21&amp;" is less than Positive result at PNC &gt; 6 weeks"&amp;CHAR(10),""),IF(E311&gt;E310," * Testing at PNC &gt; 6 weeks For age "&amp;$D$20&amp;" "&amp;$E$21&amp;" is less than Positive result at PNC &gt; 6 weeks"&amp;CHAR(10),""),IF(F311&gt;F310," * Testing at PNC &gt; 6 weeks For age "&amp;$F$20&amp;" "&amp;$F$21&amp;" is less than Positive result at PNC &gt; 6 weeks"&amp;CHAR(10),""),IF(G311&gt;G310," * Testing at PNC &gt; 6 weeks For age "&amp;$F$20&amp;" "&amp;$G$21&amp;" is less than Positive result at PNC &gt; 6 weeks"&amp;CHAR(10),""),IF(H311&gt;H310," * Testing at PNC &gt; 6 weeks For age "&amp;$H$20&amp;" "&amp;$H$21&amp;" is less than Positive result at PNC &gt; 6 weeks"&amp;CHAR(10),""),IF(I311&gt;I310," * Testing at PNC &gt; 6 weeks For age "&amp;$H$20&amp;" "&amp;$I$21&amp;" is less than Positive result at PNC &gt; 6 weeks"&amp;CHAR(10),""),IF(J311&gt;J310," * Testing at PNC &gt; 6 weeks For age "&amp;$J$20&amp;" "&amp;$J$21&amp;" is less than Positive result at PNC &gt; 6 weeks"&amp;CHAR(10),""),IF(K311&gt;K310," * Testing at PNC &gt; 6 weeks For age "&amp;$J$20&amp;" "&amp;$K$21&amp;" is less than Positive result at PNC &gt; 6 weeks"&amp;CHAR(10),""),IF(L311&gt;L310," * Testing at PNC &gt; 6 weeks For age "&amp;$L$20&amp;" "&amp;$L$21&amp;" is less than Positive result at PNC &gt; 6 weeks"&amp;CHAR(10),""),IF(M311&gt;M310," * Testing at PNC &gt; 6 weeks For age "&amp;$L$20&amp;" "&amp;$M$21&amp;" is less than Positive result at PNC &gt; 6 weeks"&amp;CHAR(10),""),IF(N311&gt;N310," * Testing at PNC &gt; 6 weeks For age "&amp;$N$20&amp;" "&amp;$N$21&amp;" is less than Positive result at PNC &gt; 6 weeks"&amp;CHAR(10),""),IF(O311&gt;O310," * Testing at PNC &gt; 6 weeks For age "&amp;$N$20&amp;" "&amp;$O$21&amp;" is less than Positive result at PNC &gt; 6 weeks"&amp;CHAR(10),""),IF(P311&gt;P310," * Testing at PNC &gt; 6 weeks For age "&amp;$P$20&amp;" "&amp;$P$21&amp;" is less than Positive result at PNC &gt; 6 weeks"&amp;CHAR(10),""),IF(Q311&gt;Q310," * Testing at PNC &gt; 6 weeks For age "&amp;$P$20&amp;" "&amp;$Q$21&amp;" is less than Positive result at PNC &gt; 6 weeks"&amp;CHAR(10),""),IF(R311&gt;R310," * Testing at PNC &gt; 6 weeks For age "&amp;$R$20&amp;" "&amp;$R$21&amp;" is less than Positive result at PNC &gt; 6 weeks"&amp;CHAR(10),""),IF(S311&gt;S310," * Testing at PNC &gt; 6 weeks For age "&amp;$R$20&amp;" "&amp;$S$21&amp;" is less than Positive result at PNC &gt; 6 weeks"&amp;CHAR(10),""),IF(T311&gt;T310," * Testing at PNC &gt; 6 weeks For age "&amp;$T$20&amp;" "&amp;$T$21&amp;" is less than Positive result at PNC &gt; 6 weeks"&amp;CHAR(10),""),IF(U311&gt;U310," * Testing at PNC &gt; 6 weeks For age "&amp;$T$20&amp;" "&amp;$U$21&amp;" is less than Positive result at PNC &gt; 6 weeks"&amp;CHAR(10),""),IF(V311&gt;V310," * Testing at PNC &gt; 6 weeks For age "&amp;$V$20&amp;" "&amp;$V$21&amp;" is less than Positive result at PNC &gt; 6 weeks"&amp;CHAR(10),""),IF(W311&gt;W310," * Testing at PNC &gt; 6 weeks For age "&amp;$V$20&amp;" "&amp;$W$21&amp;" is less than Positive result at PNC &gt; 6 weeks"&amp;CHAR(10),""),IF(X311&gt;X310," * Testing at PNC &gt; 6 weeks For age "&amp;$X$20&amp;" "&amp;$X$21&amp;" is less than Positive result at PNC &gt; 6 weeks"&amp;CHAR(10),""),IF(Y311&gt;Y310," * Testing at PNC &gt; 6 weeks For age "&amp;$X$20&amp;" "&amp;$Y$21&amp;" is less than Positive result at PNC &gt; 6 weeks"&amp;CHAR(10),""),IF(Z311&gt;Z310," * Testing at PNC &gt; 6 weeks For age "&amp;$Z$20&amp;" "&amp;$Z$21&amp;" is less than Positive result at PNC &gt; 6 weeks"&amp;CHAR(10),""),IF(AA311&gt;AA310," * Testing at PNC &gt; 6 weeks For age "&amp;$Z$20&amp;" "&amp;$AA$21&amp;" is less than Positive result at PNC &gt; 6 weeks"&amp;CHAR(10),""))</f>
        <v/>
      </c>
      <c r="AL310" s="1122"/>
      <c r="AM310" s="31"/>
      <c r="AN310" s="1344"/>
      <c r="AO310" s="13">
        <v>214</v>
      </c>
      <c r="AP310" s="74"/>
      <c r="AQ310" s="75"/>
    </row>
    <row r="311" spans="1:43" ht="27" thickBot="1" x14ac:dyDescent="0.45">
      <c r="A311" s="1358"/>
      <c r="B311" s="632" t="s">
        <v>1187</v>
      </c>
      <c r="C311" s="589" t="s">
        <v>468</v>
      </c>
      <c r="D311" s="103"/>
      <c r="E311" s="102"/>
      <c r="F311" s="102"/>
      <c r="G311" s="102"/>
      <c r="H311" s="215"/>
      <c r="I311" s="215"/>
      <c r="J311" s="215"/>
      <c r="K311" s="97"/>
      <c r="L311" s="215"/>
      <c r="M311" s="97"/>
      <c r="N311" s="215"/>
      <c r="O311" s="97"/>
      <c r="P311" s="215"/>
      <c r="Q311" s="97"/>
      <c r="R311" s="215"/>
      <c r="S311" s="97"/>
      <c r="T311" s="215"/>
      <c r="U311" s="97"/>
      <c r="V311" s="215"/>
      <c r="W311" s="97"/>
      <c r="X311" s="215"/>
      <c r="Y311" s="97"/>
      <c r="Z311" s="215"/>
      <c r="AA311" s="631"/>
      <c r="AB311" s="789"/>
      <c r="AC311" s="389"/>
      <c r="AD311" s="389"/>
      <c r="AE311" s="389"/>
      <c r="AF311" s="389"/>
      <c r="AG311" s="389"/>
      <c r="AH311" s="389"/>
      <c r="AI311" s="390"/>
      <c r="AJ311" s="386">
        <f t="shared" si="135"/>
        <v>0</v>
      </c>
      <c r="AK311" s="116"/>
      <c r="AL311" s="1122"/>
      <c r="AM311" s="31"/>
      <c r="AN311" s="1344"/>
      <c r="AO311" s="13">
        <v>215</v>
      </c>
      <c r="AP311" s="74"/>
      <c r="AQ311" s="75"/>
    </row>
    <row r="312" spans="1:43" ht="26.25" x14ac:dyDescent="0.4">
      <c r="A312" s="1358"/>
      <c r="B312" s="288" t="s">
        <v>1188</v>
      </c>
      <c r="C312" s="559" t="s">
        <v>1190</v>
      </c>
      <c r="D312" s="77"/>
      <c r="E312" s="78"/>
      <c r="F312" s="78"/>
      <c r="G312" s="78"/>
      <c r="H312" s="78"/>
      <c r="I312" s="78"/>
      <c r="J312" s="78"/>
      <c r="K312" s="79"/>
      <c r="L312" s="78"/>
      <c r="M312" s="79"/>
      <c r="N312" s="78"/>
      <c r="O312" s="79"/>
      <c r="P312" s="78"/>
      <c r="Q312" s="79"/>
      <c r="R312" s="78"/>
      <c r="S312" s="79"/>
      <c r="T312" s="78"/>
      <c r="U312" s="79"/>
      <c r="V312" s="78"/>
      <c r="W312" s="79"/>
      <c r="X312" s="78"/>
      <c r="Y312" s="79"/>
      <c r="Z312" s="78"/>
      <c r="AA312" s="370"/>
      <c r="AB312" s="375"/>
      <c r="AC312" s="345"/>
      <c r="AD312" s="345"/>
      <c r="AE312" s="345"/>
      <c r="AF312" s="345"/>
      <c r="AG312" s="345"/>
      <c r="AH312" s="345"/>
      <c r="AI312" s="302"/>
      <c r="AJ312" s="385">
        <f t="shared" ref="AJ312:AJ313" si="136">SUM(D312:AA312)</f>
        <v>0</v>
      </c>
      <c r="AK312" s="30" t="str">
        <f>CONCATENATE(IF(D313&gt;D312," * Testing at PNC &gt; 6 weeks For age "&amp;$D$20&amp;" "&amp;$D$21&amp;" is less than Positive result at PNC &gt; 6 weeks"&amp;CHAR(10),""),IF(E313&gt;E312," * Testing at PNC &gt; 6 weeks For age "&amp;$D$20&amp;" "&amp;$E$21&amp;" is less than Positive result at PNC &gt; 6 weeks"&amp;CHAR(10),""),IF(F313&gt;F312," * Testing at PNC &gt; 6 weeks For age "&amp;$F$20&amp;" "&amp;$F$21&amp;" is less than Positive result at PNC &gt; 6 weeks"&amp;CHAR(10),""),IF(G313&gt;G312," * Testing at PNC &gt; 6 weeks For age "&amp;$F$20&amp;" "&amp;$G$21&amp;" is less than Positive result at PNC &gt; 6 weeks"&amp;CHAR(10),""),IF(H313&gt;H312," * Testing at PNC &gt; 6 weeks For age "&amp;$H$20&amp;" "&amp;$H$21&amp;" is less than Positive result at PNC &gt; 6 weeks"&amp;CHAR(10),""),IF(I313&gt;I312," * Testing at PNC &gt; 6 weeks For age "&amp;$H$20&amp;" "&amp;$I$21&amp;" is less than Positive result at PNC &gt; 6 weeks"&amp;CHAR(10),""),IF(J313&gt;J312," * Testing at PNC &gt; 6 weeks For age "&amp;$J$20&amp;" "&amp;$J$21&amp;" is less than Positive result at PNC &gt; 6 weeks"&amp;CHAR(10),""),IF(K313&gt;K312," * Testing at PNC &gt; 6 weeks For age "&amp;$J$20&amp;" "&amp;$K$21&amp;" is less than Positive result at PNC &gt; 6 weeks"&amp;CHAR(10),""),IF(L313&gt;L312," * Testing at PNC &gt; 6 weeks For age "&amp;$L$20&amp;" "&amp;$L$21&amp;" is less than Positive result at PNC &gt; 6 weeks"&amp;CHAR(10),""),IF(M313&gt;M312," * Testing at PNC &gt; 6 weeks For age "&amp;$L$20&amp;" "&amp;$M$21&amp;" is less than Positive result at PNC &gt; 6 weeks"&amp;CHAR(10),""),IF(N313&gt;N312," * Testing at PNC &gt; 6 weeks For age "&amp;$N$20&amp;" "&amp;$N$21&amp;" is less than Positive result at PNC &gt; 6 weeks"&amp;CHAR(10),""),IF(O313&gt;O312," * Testing at PNC &gt; 6 weeks For age "&amp;$N$20&amp;" "&amp;$O$21&amp;" is less than Positive result at PNC &gt; 6 weeks"&amp;CHAR(10),""),IF(P313&gt;P312," * Testing at PNC &gt; 6 weeks For age "&amp;$P$20&amp;" "&amp;$P$21&amp;" is less than Positive result at PNC &gt; 6 weeks"&amp;CHAR(10),""),IF(Q313&gt;Q312," * Testing at PNC &gt; 6 weeks For age "&amp;$P$20&amp;" "&amp;$Q$21&amp;" is less than Positive result at PNC &gt; 6 weeks"&amp;CHAR(10),""),IF(R313&gt;R312," * Testing at PNC &gt; 6 weeks For age "&amp;$R$20&amp;" "&amp;$R$21&amp;" is less than Positive result at PNC &gt; 6 weeks"&amp;CHAR(10),""),IF(S313&gt;S312," * Testing at PNC &gt; 6 weeks For age "&amp;$R$20&amp;" "&amp;$S$21&amp;" is less than Positive result at PNC &gt; 6 weeks"&amp;CHAR(10),""),IF(T313&gt;T312," * Testing at PNC &gt; 6 weeks For age "&amp;$T$20&amp;" "&amp;$T$21&amp;" is less than Positive result at PNC &gt; 6 weeks"&amp;CHAR(10),""),IF(U313&gt;U312," * Testing at PNC &gt; 6 weeks For age "&amp;$T$20&amp;" "&amp;$U$21&amp;" is less than Positive result at PNC &gt; 6 weeks"&amp;CHAR(10),""),IF(V313&gt;V312," * Testing at PNC &gt; 6 weeks For age "&amp;$V$20&amp;" "&amp;$V$21&amp;" is less than Positive result at PNC &gt; 6 weeks"&amp;CHAR(10),""),IF(W313&gt;W312," * Testing at PNC &gt; 6 weeks For age "&amp;$V$20&amp;" "&amp;$W$21&amp;" is less than Positive result at PNC &gt; 6 weeks"&amp;CHAR(10),""),IF(X313&gt;X312," * Testing at PNC &gt; 6 weeks For age "&amp;$X$20&amp;" "&amp;$X$21&amp;" is less than Positive result at PNC &gt; 6 weeks"&amp;CHAR(10),""),IF(Y313&gt;Y312," * Testing at PNC &gt; 6 weeks For age "&amp;$X$20&amp;" "&amp;$Y$21&amp;" is less than Positive result at PNC &gt; 6 weeks"&amp;CHAR(10),""),IF(Z313&gt;Z312," * Testing at PNC &gt; 6 weeks For age "&amp;$Z$20&amp;" "&amp;$Z$21&amp;" is less than Positive result at PNC &gt; 6 weeks"&amp;CHAR(10),""),IF(AA313&gt;AA312," * Testing at PNC &gt; 6 weeks For age "&amp;$Z$20&amp;" "&amp;$AA$21&amp;" is less than Positive result at PNC &gt; 6 weeks"&amp;CHAR(10),""))</f>
        <v/>
      </c>
      <c r="AL312" s="1122"/>
      <c r="AM312" s="31"/>
      <c r="AN312" s="1344"/>
      <c r="AO312" s="13">
        <v>214</v>
      </c>
      <c r="AP312" s="74"/>
      <c r="AQ312" s="75"/>
    </row>
    <row r="313" spans="1:43" ht="27" thickBot="1" x14ac:dyDescent="0.45">
      <c r="A313" s="1359"/>
      <c r="B313" s="289" t="s">
        <v>1189</v>
      </c>
      <c r="C313" s="868" t="s">
        <v>1191</v>
      </c>
      <c r="D313" s="103"/>
      <c r="E313" s="102"/>
      <c r="F313" s="102"/>
      <c r="G313" s="102"/>
      <c r="H313" s="215"/>
      <c r="I313" s="215"/>
      <c r="J313" s="215"/>
      <c r="K313" s="97"/>
      <c r="L313" s="215"/>
      <c r="M313" s="97"/>
      <c r="N313" s="215"/>
      <c r="O313" s="97"/>
      <c r="P313" s="215"/>
      <c r="Q313" s="97"/>
      <c r="R313" s="215"/>
      <c r="S313" s="97"/>
      <c r="T313" s="215"/>
      <c r="U313" s="97"/>
      <c r="V313" s="215"/>
      <c r="W313" s="97"/>
      <c r="X313" s="215"/>
      <c r="Y313" s="97"/>
      <c r="Z313" s="215"/>
      <c r="AA313" s="631"/>
      <c r="AB313" s="789"/>
      <c r="AC313" s="389"/>
      <c r="AD313" s="389"/>
      <c r="AE313" s="389"/>
      <c r="AF313" s="389"/>
      <c r="AG313" s="389"/>
      <c r="AH313" s="389"/>
      <c r="AI313" s="390"/>
      <c r="AJ313" s="386">
        <f t="shared" si="136"/>
        <v>0</v>
      </c>
      <c r="AK313" s="585"/>
      <c r="AL313" s="1122"/>
      <c r="AM313" s="31"/>
      <c r="AN313" s="1344"/>
      <c r="AO313" s="13">
        <v>215</v>
      </c>
      <c r="AP313" s="74"/>
      <c r="AQ313" s="75"/>
    </row>
    <row r="314" spans="1:43" ht="26.25" x14ac:dyDescent="0.4">
      <c r="A314" s="1363" t="s">
        <v>111</v>
      </c>
      <c r="B314" s="1" t="s">
        <v>661</v>
      </c>
      <c r="C314" s="586" t="s">
        <v>264</v>
      </c>
      <c r="D314" s="98"/>
      <c r="E314" s="99"/>
      <c r="F314" s="99"/>
      <c r="G314" s="99"/>
      <c r="H314" s="99"/>
      <c r="I314" s="99"/>
      <c r="J314" s="94"/>
      <c r="K314" s="99"/>
      <c r="L314" s="94"/>
      <c r="M314" s="99"/>
      <c r="N314" s="94"/>
      <c r="O314" s="99"/>
      <c r="P314" s="94"/>
      <c r="Q314" s="99"/>
      <c r="R314" s="94"/>
      <c r="S314" s="99"/>
      <c r="T314" s="94"/>
      <c r="U314" s="99"/>
      <c r="V314" s="94"/>
      <c r="W314" s="99"/>
      <c r="X314" s="94"/>
      <c r="Y314" s="99"/>
      <c r="Z314" s="94"/>
      <c r="AA314" s="363"/>
      <c r="AB314" s="375"/>
      <c r="AC314" s="345"/>
      <c r="AD314" s="345"/>
      <c r="AE314" s="345"/>
      <c r="AF314" s="345"/>
      <c r="AG314" s="345"/>
      <c r="AH314" s="345"/>
      <c r="AI314" s="302"/>
      <c r="AJ314" s="387">
        <f t="shared" si="135"/>
        <v>0</v>
      </c>
      <c r="AK314" s="1188" t="str">
        <f>CONCATENATE(IF(D315&gt;D314," * Male Partners Tested Positive for Age "&amp;D20&amp;" "&amp;D21&amp;" is more than Male Partners Tested"&amp;CHAR(10),""),IF(E315&gt;E314," * Male Partners Tested Positive for Age "&amp;D20&amp;" "&amp;E21&amp;" is more than Male Partners Tested"&amp;CHAR(10),""),IF(F315&gt;F314," * Male Partners Tested Positive for Age "&amp;F20&amp;" "&amp;F21&amp;" is more than Male Partners Tested"&amp;CHAR(10),""),IF(G315&gt;G314," * Male Partners Tested Positive for Age "&amp;F20&amp;" "&amp;G21&amp;" is more than Male Partners Tested"&amp;CHAR(10),""),IF(H315&gt;H314," * Male Partners Tested Positive for Age "&amp;H20&amp;" "&amp;H21&amp;" is more than Male Partners Tested"&amp;CHAR(10),""),IF(I315&gt;I314," * Male Partners Tested Positive for Age "&amp;H20&amp;" "&amp;I21&amp;" is more than Male Partners Tested"&amp;CHAR(10),""),IF(J315&gt;J314," * Male Partners Tested Positive for Age "&amp;J20&amp;" "&amp;J21&amp;" is more than Male Partners Tested"&amp;CHAR(10),""),IF(K315&gt;K314," * Male Partners Tested Positive for Age "&amp;J20&amp;" "&amp;K21&amp;" is more than Male Partners Tested"&amp;CHAR(10),""),IF(L315&gt;L314," * Male Partners Tested Positive for Age "&amp;L20&amp;" "&amp;L21&amp;" is more than Male Partners Tested"&amp;CHAR(10),""),IF(M315&gt;M314," * Male Partners Tested Positive for Age "&amp;L20&amp;" "&amp;M21&amp;" is more than Male Partners Tested"&amp;CHAR(10),""),IF(N315&gt;N314," * Male Partners Tested Positive for Age "&amp;N20&amp;" "&amp;N21&amp;" is more than Male Partners Tested"&amp;CHAR(10),""),IF(O315&gt;O314," * Male Partners Tested Positive for Age "&amp;N20&amp;" "&amp;O21&amp;" is more than Male Partners Tested"&amp;CHAR(10),""),IF(P315&gt;P314," * Male Partners Tested Positive for Age "&amp;P20&amp;" "&amp;P21&amp;" is more than Male Partners Tested"&amp;CHAR(10),""),IF(Q315&gt;Q314," * Male Partners Tested Positive for Age "&amp;P20&amp;" "&amp;Q21&amp;" is more than Male Partners Tested"&amp;CHAR(10),""),IF(R315&gt;R314," * Male Partners Tested Positive for Age "&amp;R20&amp;" "&amp;R21&amp;" is more than Male Partners Tested"&amp;CHAR(10),""),IF(S315&gt;S314," * Male Partners Tested Positive for Age "&amp;R20&amp;" "&amp;S21&amp;" is more than Male Partners Tested"&amp;CHAR(10),""),IF(T315&gt;T314," * Male Partners Tested Positive for Age "&amp;T20&amp;" "&amp;T21&amp;" is more than Male Partners Tested"&amp;CHAR(10),""),IF(U315&gt;U314," * Male Partners Tested Positive for Age "&amp;T20&amp;" "&amp;U21&amp;" is more than Male Partners Tested"&amp;CHAR(10),""),IF(V315&gt;V314," * Male Partners Tested Positive for Age "&amp;V20&amp;" "&amp;V21&amp;" is more than Male Partners Tested"&amp;CHAR(10),""),IF(W315&gt;W314," * Male Partners Tested Positive for Age "&amp;V20&amp;" "&amp;W21&amp;" is more than Male Partners Tested"&amp;CHAR(10),""),IF(X315&gt;X314," * Male Partners Tested Positive for Age "&amp;X20&amp;" "&amp;X21&amp;" is more than Male Partners Tested"&amp;CHAR(10),""),IF(Y315&gt;Y314," * Male Partners Tested Positive for Age "&amp;X20&amp;" "&amp;Y21&amp;" is more than Male Partners Tested"&amp;CHAR(10),""),IF(Z315&gt;Z314," * Male Partners Tested Positive for Age "&amp;Z20&amp;" "&amp;Z21&amp;" is more than Male Partners Tested"&amp;CHAR(10),""),IF(AA315&gt;AA314," * Male Partners Tested Positive for Age "&amp;Z20&amp;" "&amp;AA21&amp;" is more than Male Partners Tested"&amp;CHAR(10),""))</f>
        <v/>
      </c>
      <c r="AL314" s="1122"/>
      <c r="AM314" s="31"/>
      <c r="AN314" s="1344"/>
      <c r="AO314" s="13">
        <v>216</v>
      </c>
      <c r="AP314" s="74"/>
      <c r="AQ314" s="75"/>
    </row>
    <row r="315" spans="1:43" ht="27" thickBot="1" x14ac:dyDescent="0.45">
      <c r="A315" s="1364"/>
      <c r="B315" s="3" t="s">
        <v>662</v>
      </c>
      <c r="C315" s="589" t="s">
        <v>265</v>
      </c>
      <c r="D315" s="103"/>
      <c r="E315" s="102"/>
      <c r="F315" s="102"/>
      <c r="G315" s="102"/>
      <c r="H315" s="102"/>
      <c r="I315" s="102"/>
      <c r="J315" s="152"/>
      <c r="K315" s="102"/>
      <c r="L315" s="152"/>
      <c r="M315" s="102"/>
      <c r="N315" s="152"/>
      <c r="O315" s="102"/>
      <c r="P315" s="152"/>
      <c r="Q315" s="102"/>
      <c r="R315" s="152"/>
      <c r="S315" s="102"/>
      <c r="T315" s="152"/>
      <c r="U315" s="102"/>
      <c r="V315" s="152"/>
      <c r="W315" s="102"/>
      <c r="X315" s="152"/>
      <c r="Y315" s="102"/>
      <c r="Z315" s="152"/>
      <c r="AA315" s="364"/>
      <c r="AB315" s="376"/>
      <c r="AC315" s="377"/>
      <c r="AD315" s="377"/>
      <c r="AE315" s="377"/>
      <c r="AF315" s="377"/>
      <c r="AG315" s="377"/>
      <c r="AH315" s="377"/>
      <c r="AI315" s="303"/>
      <c r="AJ315" s="386">
        <f t="shared" si="135"/>
        <v>0</v>
      </c>
      <c r="AK315" s="1188"/>
      <c r="AL315" s="1146"/>
      <c r="AM315" s="31"/>
      <c r="AN315" s="1345"/>
      <c r="AO315" s="13">
        <v>217</v>
      </c>
      <c r="AP315" s="74"/>
      <c r="AQ315" s="75"/>
    </row>
    <row r="316" spans="1:43" ht="27" hidden="1" thickBot="1" x14ac:dyDescent="0.45">
      <c r="A316" s="1271" t="s">
        <v>483</v>
      </c>
      <c r="B316" s="69" t="s">
        <v>664</v>
      </c>
      <c r="C316" s="593" t="s">
        <v>500</v>
      </c>
      <c r="D316" s="154"/>
      <c r="E316" s="127"/>
      <c r="F316" s="71"/>
      <c r="G316" s="71"/>
      <c r="H316" s="71"/>
      <c r="I316" s="71"/>
      <c r="J316" s="71"/>
      <c r="K316" s="71"/>
      <c r="L316" s="71"/>
      <c r="M316" s="71"/>
      <c r="N316" s="71"/>
      <c r="O316" s="71"/>
      <c r="P316" s="71"/>
      <c r="Q316" s="71"/>
      <c r="R316" s="71"/>
      <c r="S316" s="71"/>
      <c r="T316" s="71"/>
      <c r="U316" s="71"/>
      <c r="V316" s="71"/>
      <c r="W316" s="71"/>
      <c r="X316" s="71"/>
      <c r="Y316" s="71"/>
      <c r="Z316" s="71"/>
      <c r="AA316" s="342"/>
      <c r="AB316" s="375"/>
      <c r="AC316" s="345"/>
      <c r="AD316" s="345"/>
      <c r="AE316" s="345"/>
      <c r="AF316" s="345"/>
      <c r="AG316" s="345"/>
      <c r="AH316" s="345"/>
      <c r="AI316" s="302"/>
      <c r="AJ316" s="387">
        <f t="shared" si="135"/>
        <v>0</v>
      </c>
      <c r="AK316" s="116" t="str">
        <f>CONCATENATE(IF(D319&gt;D316," * EID Tested Positive 0-2 Months for Age "&amp;$D$20&amp;" "&amp;$D$21&amp;" is more than EID Tested 0-2 Months"&amp;CHAR(10),""),IF(E319&gt;E316," * EID Tested Positive 0-2 Months for Age "&amp;$D$20&amp;" "&amp;$E$21&amp;" is more than EID Tested 0-2 Months"&amp;CHAR(10),""))</f>
        <v/>
      </c>
      <c r="AL316" s="1342" t="str">
        <f>CONCATENATE(AK318,AK319,AK320,AK321,AK322,AK323,AK324,AK300,AK316,AK317)</f>
        <v/>
      </c>
      <c r="AM316" s="31"/>
      <c r="AN316" s="1346" t="str">
        <f>CONCATENATE(AM316,AM317,AM318,AM319,AM320,AM321,AM322,AM323,AM324)</f>
        <v/>
      </c>
      <c r="AO316" s="13">
        <v>218</v>
      </c>
      <c r="AP316" s="74"/>
      <c r="AQ316" s="75"/>
    </row>
    <row r="317" spans="1:43" s="61" customFormat="1" ht="26.25" hidden="1" x14ac:dyDescent="0.4">
      <c r="A317" s="1272"/>
      <c r="B317" s="76" t="s">
        <v>663</v>
      </c>
      <c r="C317" s="559" t="s">
        <v>501</v>
      </c>
      <c r="D317" s="201"/>
      <c r="E317" s="129"/>
      <c r="F317" s="78"/>
      <c r="G317" s="78"/>
      <c r="H317" s="78"/>
      <c r="I317" s="78"/>
      <c r="J317" s="78"/>
      <c r="K317" s="78"/>
      <c r="L317" s="78"/>
      <c r="M317" s="78"/>
      <c r="N317" s="78"/>
      <c r="O317" s="78"/>
      <c r="P317" s="78"/>
      <c r="Q317" s="78"/>
      <c r="R317" s="78"/>
      <c r="S317" s="78"/>
      <c r="T317" s="78"/>
      <c r="U317" s="78"/>
      <c r="V317" s="78"/>
      <c r="W317" s="78"/>
      <c r="X317" s="78"/>
      <c r="Y317" s="78"/>
      <c r="Z317" s="78"/>
      <c r="AA317" s="343"/>
      <c r="AB317" s="375"/>
      <c r="AC317" s="345"/>
      <c r="AD317" s="345"/>
      <c r="AE317" s="345"/>
      <c r="AF317" s="345"/>
      <c r="AG317" s="345"/>
      <c r="AH317" s="345"/>
      <c r="AI317" s="302"/>
      <c r="AJ317" s="385">
        <f t="shared" si="135"/>
        <v>0</v>
      </c>
      <c r="AK317" s="116" t="str">
        <f>CONCATENATE(IF(D320&gt;D317," * EID Tested Positive 2-12 Months for Age "&amp;$D$20&amp;" "&amp;$D$21&amp;" is more than EID Tested 2-12 Months"&amp;CHAR(10),""),IF(E320&gt;E317," * EID Tested Positive 2-12 Months for Age "&amp;$D$20&amp;" "&amp;$E$21&amp;" is more than EID Tested 2-12 Months"&amp;CHAR(10),""))</f>
        <v/>
      </c>
      <c r="AL317" s="1122"/>
      <c r="AM317" s="60"/>
      <c r="AN317" s="1344"/>
      <c r="AO317" s="13">
        <v>219</v>
      </c>
      <c r="AP317" s="80"/>
      <c r="AQ317" s="75"/>
    </row>
    <row r="318" spans="1:43" ht="27" hidden="1" thickBot="1" x14ac:dyDescent="0.45">
      <c r="A318" s="1273"/>
      <c r="B318" s="218" t="s">
        <v>486</v>
      </c>
      <c r="C318" s="560" t="s">
        <v>502</v>
      </c>
      <c r="D318" s="219">
        <f>D316+D317</f>
        <v>0</v>
      </c>
      <c r="E318" s="212">
        <f>E316+E317</f>
        <v>0</v>
      </c>
      <c r="F318" s="102"/>
      <c r="G318" s="102"/>
      <c r="H318" s="102"/>
      <c r="I318" s="102"/>
      <c r="J318" s="102"/>
      <c r="K318" s="102"/>
      <c r="L318" s="102"/>
      <c r="M318" s="102"/>
      <c r="N318" s="102"/>
      <c r="O318" s="102"/>
      <c r="P318" s="102"/>
      <c r="Q318" s="102"/>
      <c r="R318" s="102"/>
      <c r="S318" s="102"/>
      <c r="T318" s="102"/>
      <c r="U318" s="102"/>
      <c r="V318" s="102"/>
      <c r="W318" s="102"/>
      <c r="X318" s="102"/>
      <c r="Y318" s="102"/>
      <c r="Z318" s="102"/>
      <c r="AA318" s="313"/>
      <c r="AB318" s="375"/>
      <c r="AC318" s="345"/>
      <c r="AD318" s="345"/>
      <c r="AE318" s="345"/>
      <c r="AF318" s="345"/>
      <c r="AG318" s="345"/>
      <c r="AH318" s="345"/>
      <c r="AI318" s="302"/>
      <c r="AJ318" s="386">
        <f t="shared" si="135"/>
        <v>0</v>
      </c>
      <c r="AK318" s="116"/>
      <c r="AL318" s="1122"/>
      <c r="AM318" s="31" t="str">
        <f>IF(AJ318&gt;SUM(AJ309,AJ307,AJ305,AJ303,AJ301,AJ299,AJ295,AJ293)," EID Testing cannot be more than PMTCT HIV Positive Mothers (ANC 1 Other ANC, L&amp;D and PNC","")</f>
        <v/>
      </c>
      <c r="AN318" s="1344"/>
      <c r="AO318" s="13">
        <v>220</v>
      </c>
      <c r="AP318" s="74"/>
      <c r="AQ318" s="75"/>
    </row>
    <row r="319" spans="1:43" ht="26.25" hidden="1" x14ac:dyDescent="0.4">
      <c r="A319" s="1271" t="s">
        <v>487</v>
      </c>
      <c r="B319" s="91" t="s">
        <v>491</v>
      </c>
      <c r="C319" s="558" t="s">
        <v>503</v>
      </c>
      <c r="D319" s="220"/>
      <c r="E319" s="221"/>
      <c r="F319" s="99"/>
      <c r="G319" s="99"/>
      <c r="H319" s="99"/>
      <c r="I319" s="99"/>
      <c r="J319" s="99"/>
      <c r="K319" s="99"/>
      <c r="L319" s="99"/>
      <c r="M319" s="99"/>
      <c r="N319" s="99"/>
      <c r="O319" s="99"/>
      <c r="P319" s="99"/>
      <c r="Q319" s="99"/>
      <c r="R319" s="99"/>
      <c r="S319" s="99"/>
      <c r="T319" s="99"/>
      <c r="U319" s="99"/>
      <c r="V319" s="99"/>
      <c r="W319" s="99"/>
      <c r="X319" s="99"/>
      <c r="Y319" s="99"/>
      <c r="Z319" s="99"/>
      <c r="AA319" s="312"/>
      <c r="AB319" s="375"/>
      <c r="AC319" s="345"/>
      <c r="AD319" s="345"/>
      <c r="AE319" s="345"/>
      <c r="AF319" s="345"/>
      <c r="AG319" s="345"/>
      <c r="AH319" s="345"/>
      <c r="AI319" s="302"/>
      <c r="AJ319" s="387">
        <f t="shared" si="135"/>
        <v>0</v>
      </c>
      <c r="AK319" s="116" t="str">
        <f>CONCATENATE(IF(D322&gt;D319," * EID initiated on ART 0-2 Months for Age "&amp;$D$20&amp;" "&amp;$D$21&amp;" is more than EID Positive 0-2 Months"&amp;CHAR(10),""),IF(E322&gt;E319," * EID initiated on ART 0-2 Months for Age "&amp;$D$20&amp;" "&amp;$E$21&amp;" is more than EID Positive 0-2 Months"&amp;CHAR(10),""))</f>
        <v/>
      </c>
      <c r="AL319" s="1122"/>
      <c r="AM319" s="116" t="str">
        <f>CONCATENATE(IF(D322&lt;D319," * EID initiated on ART 0-2 Months for Age "&amp;$D$20&amp;" "&amp;$D$21&amp;" is less than EID Positive 0-2 Months"&amp;CHAR(10),""),IF(E322&lt;E319," * EID initiated on ART 0-2 Months for Age "&amp;$D$20&amp;" "&amp;$E$21&amp;" is less than EID Positive 0-2 Months"&amp;CHAR(10),""))</f>
        <v/>
      </c>
      <c r="AN319" s="1344"/>
      <c r="AO319" s="13">
        <v>221</v>
      </c>
      <c r="AP319" s="74"/>
      <c r="AQ319" s="75"/>
    </row>
    <row r="320" spans="1:43" s="61" customFormat="1" ht="26.25" hidden="1" x14ac:dyDescent="0.4">
      <c r="A320" s="1272"/>
      <c r="B320" s="76" t="s">
        <v>488</v>
      </c>
      <c r="C320" s="559" t="s">
        <v>504</v>
      </c>
      <c r="D320" s="222"/>
      <c r="E320" s="223"/>
      <c r="F320" s="78"/>
      <c r="G320" s="78"/>
      <c r="H320" s="78"/>
      <c r="I320" s="78"/>
      <c r="J320" s="78"/>
      <c r="K320" s="78"/>
      <c r="L320" s="78"/>
      <c r="M320" s="78"/>
      <c r="N320" s="78"/>
      <c r="O320" s="78"/>
      <c r="P320" s="78"/>
      <c r="Q320" s="78"/>
      <c r="R320" s="78"/>
      <c r="S320" s="78"/>
      <c r="T320" s="78"/>
      <c r="U320" s="78"/>
      <c r="V320" s="78"/>
      <c r="W320" s="78"/>
      <c r="X320" s="78"/>
      <c r="Y320" s="78"/>
      <c r="Z320" s="78"/>
      <c r="AA320" s="343"/>
      <c r="AB320" s="375"/>
      <c r="AC320" s="345"/>
      <c r="AD320" s="345"/>
      <c r="AE320" s="345"/>
      <c r="AF320" s="345"/>
      <c r="AG320" s="345"/>
      <c r="AH320" s="345"/>
      <c r="AI320" s="302"/>
      <c r="AJ320" s="385">
        <f t="shared" si="135"/>
        <v>0</v>
      </c>
      <c r="AK320" s="116" t="str">
        <f>CONCATENATE(IF(D323&gt;D320," * EID initiated on ART 2-12 Months for Age "&amp;$D$20&amp;" "&amp;$D$21&amp;" is more than EID Positive 2-12 Months"&amp;CHAR(10),""),IF(E323&gt;E320," * EID initiated on ART 2-12 Months for Age "&amp;$D$20&amp;" "&amp;$E$21&amp;" is more than EID Positive 2-12 Months"&amp;CHAR(10),""))</f>
        <v/>
      </c>
      <c r="AL320" s="1122"/>
      <c r="AM320" s="116" t="str">
        <f>CONCATENATE(IF(D323&lt;D320," * EID initiated on ART 2-12 Months for Age "&amp;$D$20&amp;" "&amp;$D$21&amp;" is less than EID Positive 2-12 Months"&amp;CHAR(10),""),IF(E323&lt;E320," * EID initiated on ART 2-12 Months for Age "&amp;$D$20&amp;" "&amp;$E$21&amp;" is less than EID Positive 2-12 Months"&amp;CHAR(10),""))</f>
        <v/>
      </c>
      <c r="AN320" s="1344"/>
      <c r="AO320" s="13">
        <v>222</v>
      </c>
      <c r="AP320" s="80"/>
      <c r="AQ320" s="75"/>
    </row>
    <row r="321" spans="1:43" ht="27" hidden="1" thickBot="1" x14ac:dyDescent="0.45">
      <c r="A321" s="1273"/>
      <c r="B321" s="218" t="s">
        <v>489</v>
      </c>
      <c r="C321" s="560" t="s">
        <v>505</v>
      </c>
      <c r="D321" s="219">
        <f>D319+D320</f>
        <v>0</v>
      </c>
      <c r="E321" s="212">
        <f>E319+E320</f>
        <v>0</v>
      </c>
      <c r="F321" s="102"/>
      <c r="G321" s="102"/>
      <c r="H321" s="102"/>
      <c r="I321" s="102"/>
      <c r="J321" s="102"/>
      <c r="K321" s="102"/>
      <c r="L321" s="102"/>
      <c r="M321" s="102"/>
      <c r="N321" s="102"/>
      <c r="O321" s="102"/>
      <c r="P321" s="102"/>
      <c r="Q321" s="102"/>
      <c r="R321" s="102"/>
      <c r="S321" s="102"/>
      <c r="T321" s="102"/>
      <c r="U321" s="102"/>
      <c r="V321" s="102"/>
      <c r="W321" s="102"/>
      <c r="X321" s="102"/>
      <c r="Y321" s="102"/>
      <c r="Z321" s="102"/>
      <c r="AA321" s="313"/>
      <c r="AB321" s="375"/>
      <c r="AC321" s="345"/>
      <c r="AD321" s="345"/>
      <c r="AE321" s="345"/>
      <c r="AF321" s="345"/>
      <c r="AG321" s="345"/>
      <c r="AH321" s="345"/>
      <c r="AI321" s="302"/>
      <c r="AJ321" s="386">
        <f t="shared" si="135"/>
        <v>0</v>
      </c>
      <c r="AK321" s="116" t="str">
        <f>CONCATENATE(IF(D324&gt;D321," * EID initiated on ART 0-12 Months for Age "&amp;$D$20&amp;" "&amp;$D$21&amp;" is more than EID Positive 0-12 Months"&amp;CHAR(10),""),IF(E324&gt;E321," * EID initiated on ART 0-12 Months for Age "&amp;$D$20&amp;" "&amp;$E$21&amp;" is more than EID Positive 0-12 Months"&amp;CHAR(10),""))</f>
        <v/>
      </c>
      <c r="AL321" s="1122"/>
      <c r="AM321" s="116" t="str">
        <f>CONCATENATE(IF(D324&lt;D321," * EID initiated on ART 0-12 Months for Age "&amp;$D$20&amp;" "&amp;$D$21&amp;" is less than EID Positive 0-12 Months"&amp;CHAR(10),""),IF(E324&lt;E321," * EID initiated on ART 0-12 Months for Age "&amp;$D$20&amp;" "&amp;$E$21&amp;" is less than EID Positive 0-12 Months"&amp;CHAR(10),""))</f>
        <v/>
      </c>
      <c r="AN321" s="1344"/>
      <c r="AO321" s="13">
        <v>223</v>
      </c>
      <c r="AP321" s="74"/>
      <c r="AQ321" s="75"/>
    </row>
    <row r="322" spans="1:43" ht="26.25" hidden="1" x14ac:dyDescent="0.4">
      <c r="A322" s="1271" t="s">
        <v>484</v>
      </c>
      <c r="B322" s="91" t="s">
        <v>868</v>
      </c>
      <c r="C322" s="558" t="s">
        <v>506</v>
      </c>
      <c r="D322" s="147"/>
      <c r="E322" s="148"/>
      <c r="F322" s="99"/>
      <c r="G322" s="99"/>
      <c r="H322" s="99"/>
      <c r="I322" s="99"/>
      <c r="J322" s="99"/>
      <c r="K322" s="99"/>
      <c r="L322" s="99"/>
      <c r="M322" s="99"/>
      <c r="N322" s="99"/>
      <c r="O322" s="99"/>
      <c r="P322" s="99"/>
      <c r="Q322" s="99"/>
      <c r="R322" s="99"/>
      <c r="S322" s="99"/>
      <c r="T322" s="99"/>
      <c r="U322" s="99"/>
      <c r="V322" s="99"/>
      <c r="W322" s="99"/>
      <c r="X322" s="99"/>
      <c r="Y322" s="99"/>
      <c r="Z322" s="99"/>
      <c r="AA322" s="312"/>
      <c r="AB322" s="375"/>
      <c r="AC322" s="345"/>
      <c r="AD322" s="345"/>
      <c r="AE322" s="345"/>
      <c r="AF322" s="345"/>
      <c r="AG322" s="345"/>
      <c r="AH322" s="345"/>
      <c r="AI322" s="302"/>
      <c r="AJ322" s="387">
        <f t="shared" si="135"/>
        <v>0</v>
      </c>
      <c r="AK322" s="116"/>
      <c r="AL322" s="1122"/>
      <c r="AM322" s="31"/>
      <c r="AN322" s="1344"/>
      <c r="AO322" s="13">
        <v>224</v>
      </c>
      <c r="AP322" s="74"/>
      <c r="AQ322" s="75"/>
    </row>
    <row r="323" spans="1:43" ht="26.25" hidden="1" x14ac:dyDescent="0.4">
      <c r="A323" s="1272"/>
      <c r="B323" s="76" t="s">
        <v>869</v>
      </c>
      <c r="C323" s="559" t="s">
        <v>507</v>
      </c>
      <c r="D323" s="201"/>
      <c r="E323" s="129"/>
      <c r="F323" s="78"/>
      <c r="G323" s="78"/>
      <c r="H323" s="78"/>
      <c r="I323" s="78"/>
      <c r="J323" s="78"/>
      <c r="K323" s="78"/>
      <c r="L323" s="78"/>
      <c r="M323" s="78"/>
      <c r="N323" s="78"/>
      <c r="O323" s="78"/>
      <c r="P323" s="78"/>
      <c r="Q323" s="78"/>
      <c r="R323" s="78"/>
      <c r="S323" s="78"/>
      <c r="T323" s="78"/>
      <c r="U323" s="78"/>
      <c r="V323" s="78"/>
      <c r="W323" s="78"/>
      <c r="X323" s="78"/>
      <c r="Y323" s="78"/>
      <c r="Z323" s="78"/>
      <c r="AA323" s="343"/>
      <c r="AB323" s="375"/>
      <c r="AC323" s="345"/>
      <c r="AD323" s="345"/>
      <c r="AE323" s="345"/>
      <c r="AF323" s="345"/>
      <c r="AG323" s="345"/>
      <c r="AH323" s="345"/>
      <c r="AI323" s="302"/>
      <c r="AJ323" s="385">
        <f t="shared" si="135"/>
        <v>0</v>
      </c>
      <c r="AK323" s="116"/>
      <c r="AL323" s="1122"/>
      <c r="AM323" s="31"/>
      <c r="AN323" s="1344"/>
      <c r="AO323" s="13">
        <v>225</v>
      </c>
      <c r="AP323" s="74"/>
      <c r="AQ323" s="75"/>
    </row>
    <row r="324" spans="1:43" ht="27" hidden="1" thickBot="1" x14ac:dyDescent="0.45">
      <c r="A324" s="1274"/>
      <c r="B324" s="224" t="s">
        <v>890</v>
      </c>
      <c r="C324" s="560" t="s">
        <v>508</v>
      </c>
      <c r="D324" s="225">
        <f>D322+D323</f>
        <v>0</v>
      </c>
      <c r="E324" s="225">
        <f>E322+E323</f>
        <v>0</v>
      </c>
      <c r="F324" s="120"/>
      <c r="G324" s="120"/>
      <c r="H324" s="120"/>
      <c r="I324" s="120"/>
      <c r="J324" s="120"/>
      <c r="K324" s="120"/>
      <c r="L324" s="120"/>
      <c r="M324" s="120"/>
      <c r="N324" s="120"/>
      <c r="O324" s="120"/>
      <c r="P324" s="120"/>
      <c r="Q324" s="120"/>
      <c r="R324" s="120"/>
      <c r="S324" s="120"/>
      <c r="T324" s="120"/>
      <c r="U324" s="120"/>
      <c r="V324" s="120"/>
      <c r="W324" s="120"/>
      <c r="X324" s="120"/>
      <c r="Y324" s="120"/>
      <c r="Z324" s="120"/>
      <c r="AA324" s="323"/>
      <c r="AB324" s="376"/>
      <c r="AC324" s="377"/>
      <c r="AD324" s="377"/>
      <c r="AE324" s="377"/>
      <c r="AF324" s="377"/>
      <c r="AG324" s="377"/>
      <c r="AH324" s="377"/>
      <c r="AI324" s="303"/>
      <c r="AJ324" s="388">
        <f t="shared" ref="AJ324" si="137">SUM(D324:AA324)</f>
        <v>0</v>
      </c>
      <c r="AK324" s="122" t="str">
        <f>CONCATENATE(IF(D324&lt;&gt;D346,"*Starting ART &lt; 1 M  Must be equals to Infants 0-12 Months HIV +ve started on ART"&amp;CHAR(10),""),IF(E324&lt;&gt;E346,"*Starting ART &lt; 1 F  Must be equals to Infants 0-12 Months +ve started on ART"&amp;CHAR(10),""))</f>
        <v/>
      </c>
      <c r="AL324" s="1123"/>
      <c r="AM324" s="123"/>
      <c r="AN324" s="1347"/>
      <c r="AO324" s="13">
        <v>226</v>
      </c>
      <c r="AP324" s="74"/>
      <c r="AQ324" s="75"/>
    </row>
    <row r="325" spans="1:43" ht="27" thickBot="1" x14ac:dyDescent="0.45">
      <c r="A325" s="1120" t="s">
        <v>115</v>
      </c>
      <c r="B325" s="1118"/>
      <c r="C325" s="1118"/>
      <c r="D325" s="1118"/>
      <c r="E325" s="1118"/>
      <c r="F325" s="1118"/>
      <c r="G325" s="1118"/>
      <c r="H325" s="1118"/>
      <c r="I325" s="1118"/>
      <c r="J325" s="1118"/>
      <c r="K325" s="1118"/>
      <c r="L325" s="1118"/>
      <c r="M325" s="1118"/>
      <c r="N325" s="1118"/>
      <c r="O325" s="1118"/>
      <c r="P325" s="1118"/>
      <c r="Q325" s="1118"/>
      <c r="R325" s="1118"/>
      <c r="S325" s="1118"/>
      <c r="T325" s="1118"/>
      <c r="U325" s="1118"/>
      <c r="V325" s="1118"/>
      <c r="W325" s="1118"/>
      <c r="X325" s="1118"/>
      <c r="Y325" s="1118"/>
      <c r="Z325" s="1118"/>
      <c r="AA325" s="1118"/>
      <c r="AB325" s="1117"/>
      <c r="AC325" s="1117"/>
      <c r="AD325" s="1117"/>
      <c r="AE325" s="1117"/>
      <c r="AF325" s="1117"/>
      <c r="AG325" s="1117"/>
      <c r="AH325" s="1117"/>
      <c r="AI325" s="1117"/>
      <c r="AJ325" s="1118"/>
      <c r="AK325" s="1118"/>
      <c r="AL325" s="1118"/>
      <c r="AM325" s="1118"/>
      <c r="AN325" s="1119"/>
      <c r="AO325" s="13">
        <v>227</v>
      </c>
      <c r="AP325" s="74"/>
      <c r="AQ325" s="75"/>
    </row>
    <row r="326" spans="1:43" ht="26.25" x14ac:dyDescent="0.4">
      <c r="A326" s="1164" t="s">
        <v>36</v>
      </c>
      <c r="B326" s="1160" t="s">
        <v>321</v>
      </c>
      <c r="C326" s="1162" t="s">
        <v>305</v>
      </c>
      <c r="D326" s="1184" t="s">
        <v>0</v>
      </c>
      <c r="E326" s="1139"/>
      <c r="F326" s="1139" t="s">
        <v>1</v>
      </c>
      <c r="G326" s="1139"/>
      <c r="H326" s="1139" t="s">
        <v>2</v>
      </c>
      <c r="I326" s="1139"/>
      <c r="J326" s="1139" t="s">
        <v>3</v>
      </c>
      <c r="K326" s="1139"/>
      <c r="L326" s="1139" t="s">
        <v>4</v>
      </c>
      <c r="M326" s="1139"/>
      <c r="N326" s="1139" t="s">
        <v>5</v>
      </c>
      <c r="O326" s="1139"/>
      <c r="P326" s="1139" t="s">
        <v>6</v>
      </c>
      <c r="Q326" s="1139"/>
      <c r="R326" s="1139" t="s">
        <v>7</v>
      </c>
      <c r="S326" s="1139"/>
      <c r="T326" s="1139" t="s">
        <v>8</v>
      </c>
      <c r="U326" s="1139"/>
      <c r="V326" s="1139" t="s">
        <v>23</v>
      </c>
      <c r="W326" s="1139"/>
      <c r="X326" s="1139" t="s">
        <v>24</v>
      </c>
      <c r="Y326" s="1139"/>
      <c r="Z326" s="1139" t="s">
        <v>9</v>
      </c>
      <c r="AA326" s="1140"/>
      <c r="AB326" s="1140" t="s">
        <v>963</v>
      </c>
      <c r="AC326" s="1184"/>
      <c r="AD326" s="1140" t="s">
        <v>964</v>
      </c>
      <c r="AE326" s="1184"/>
      <c r="AF326" s="1140" t="s">
        <v>1127</v>
      </c>
      <c r="AG326" s="1184"/>
      <c r="AH326" s="1140" t="s">
        <v>1128</v>
      </c>
      <c r="AI326" s="1184"/>
      <c r="AJ326" s="1152" t="s">
        <v>19</v>
      </c>
      <c r="AK326" s="1154" t="s">
        <v>354</v>
      </c>
      <c r="AL326" s="1137" t="s">
        <v>360</v>
      </c>
      <c r="AM326" s="1132" t="s">
        <v>361</v>
      </c>
      <c r="AN326" s="1127" t="s">
        <v>361</v>
      </c>
      <c r="AO326" s="13">
        <v>228</v>
      </c>
      <c r="AP326" s="74"/>
      <c r="AQ326" s="75"/>
    </row>
    <row r="327" spans="1:43" ht="27" thickBot="1" x14ac:dyDescent="0.45">
      <c r="A327" s="1165"/>
      <c r="B327" s="1275"/>
      <c r="C327" s="1163"/>
      <c r="D327" s="653" t="s">
        <v>10</v>
      </c>
      <c r="E327" s="284" t="s">
        <v>11</v>
      </c>
      <c r="F327" s="284" t="s">
        <v>10</v>
      </c>
      <c r="G327" s="284" t="s">
        <v>11</v>
      </c>
      <c r="H327" s="284" t="s">
        <v>10</v>
      </c>
      <c r="I327" s="284" t="s">
        <v>11</v>
      </c>
      <c r="J327" s="284" t="s">
        <v>10</v>
      </c>
      <c r="K327" s="284" t="s">
        <v>11</v>
      </c>
      <c r="L327" s="284" t="s">
        <v>10</v>
      </c>
      <c r="M327" s="284" t="s">
        <v>11</v>
      </c>
      <c r="N327" s="284" t="s">
        <v>10</v>
      </c>
      <c r="O327" s="284" t="s">
        <v>11</v>
      </c>
      <c r="P327" s="284" t="s">
        <v>10</v>
      </c>
      <c r="Q327" s="284" t="s">
        <v>11</v>
      </c>
      <c r="R327" s="284" t="s">
        <v>10</v>
      </c>
      <c r="S327" s="284" t="s">
        <v>11</v>
      </c>
      <c r="T327" s="284" t="s">
        <v>10</v>
      </c>
      <c r="U327" s="284" t="s">
        <v>11</v>
      </c>
      <c r="V327" s="284" t="s">
        <v>10</v>
      </c>
      <c r="W327" s="284" t="s">
        <v>11</v>
      </c>
      <c r="X327" s="284" t="s">
        <v>10</v>
      </c>
      <c r="Y327" s="284" t="s">
        <v>11</v>
      </c>
      <c r="Z327" s="284" t="s">
        <v>10</v>
      </c>
      <c r="AA327" s="490" t="s">
        <v>11</v>
      </c>
      <c r="AB327" s="284" t="s">
        <v>10</v>
      </c>
      <c r="AC327" s="284" t="s">
        <v>11</v>
      </c>
      <c r="AD327" s="284" t="s">
        <v>10</v>
      </c>
      <c r="AE327" s="284" t="s">
        <v>11</v>
      </c>
      <c r="AF327" s="284" t="s">
        <v>10</v>
      </c>
      <c r="AG327" s="284" t="s">
        <v>11</v>
      </c>
      <c r="AH327" s="284" t="s">
        <v>10</v>
      </c>
      <c r="AI327" s="654" t="s">
        <v>11</v>
      </c>
      <c r="AJ327" s="1260"/>
      <c r="AK327" s="1155"/>
      <c r="AL327" s="1138"/>
      <c r="AM327" s="1132"/>
      <c r="AN327" s="1128"/>
      <c r="AO327" s="13">
        <v>229</v>
      </c>
      <c r="AP327" s="74"/>
      <c r="AQ327" s="75"/>
    </row>
    <row r="328" spans="1:43" ht="26.25" x14ac:dyDescent="0.4">
      <c r="A328" s="1335" t="s">
        <v>456</v>
      </c>
      <c r="B328" s="1" t="s">
        <v>470</v>
      </c>
      <c r="C328" s="591" t="s">
        <v>346</v>
      </c>
      <c r="D328" s="664"/>
      <c r="E328" s="664"/>
      <c r="F328" s="664"/>
      <c r="G328" s="664"/>
      <c r="H328" s="664"/>
      <c r="I328" s="664"/>
      <c r="J328" s="699"/>
      <c r="K328" s="688"/>
      <c r="L328" s="664"/>
      <c r="M328" s="619"/>
      <c r="N328" s="664"/>
      <c r="O328" s="619"/>
      <c r="P328" s="664"/>
      <c r="Q328" s="619"/>
      <c r="R328" s="664"/>
      <c r="S328" s="619"/>
      <c r="T328" s="664"/>
      <c r="U328" s="619"/>
      <c r="V328" s="664"/>
      <c r="W328" s="619"/>
      <c r="X328" s="664"/>
      <c r="Y328" s="619"/>
      <c r="Z328" s="664"/>
      <c r="AA328" s="686">
        <f>SUM(AC328,AE328,AG328,AI328)</f>
        <v>0</v>
      </c>
      <c r="AB328" s="621"/>
      <c r="AC328" s="665"/>
      <c r="AD328" s="619"/>
      <c r="AE328" s="665"/>
      <c r="AF328" s="619"/>
      <c r="AG328" s="665"/>
      <c r="AH328" s="620"/>
      <c r="AI328" s="661"/>
      <c r="AJ328" s="658">
        <f>SUM(D328:AA328)</f>
        <v>0</v>
      </c>
      <c r="AK328" s="139" t="str">
        <f>CONCATENATE(IF(D329&gt;SUM(D346)," * Start HAART at ANC 1 for Age "&amp;D20&amp;" "&amp;D21&amp;" is more than Starting ART"&amp;CHAR(10),""),IF(E329&gt;SUM(E346)," * Start HAART at ANC 1  for Age "&amp;D20&amp;" "&amp;E21&amp;" is more than Starting ART"&amp;CHAR(10),""),IF(F329&gt;SUM(F346)," * Start HAART at ANC 1  for Age "&amp;F20&amp;" "&amp;F21&amp;" is more than Starting ART"&amp;CHAR(10),""),IF(G329&gt;SUM(G346)," * Start HAART at ANC 1  for Age "&amp;F20&amp;" "&amp;G21&amp;" is more than Starting ART"&amp;CHAR(10),""),IF(H329&gt;SUM(H346)," * Start HAART at ANC 1  for Age "&amp;H20&amp;" "&amp;H21&amp;" is more than Starting ART"&amp;CHAR(10),""),IF(I329&gt;SUM(I346)," * Start HAART at ANC 1  for Age "&amp;H20&amp;" "&amp;I21&amp;" is more than Starting ART"&amp;CHAR(10),""),IF(J329&gt;SUM(J346)," * Start HAART at ANC 1  for Age "&amp;J20&amp;" "&amp;J21&amp;" is more than Starting ART"&amp;CHAR(10),""),IF(K329&gt;SUM(K346)," * Start HAART at ANC 1  for Age "&amp;J20&amp;" "&amp;K21&amp;" is more than Starting ART"&amp;CHAR(10),""),IF(L329&gt;SUM(L346)," * Start HAART at ANC 1  for Age "&amp;L20&amp;" "&amp;L21&amp;" is more than Starting ART"&amp;CHAR(10),""),IF(M329&gt;SUM(M346)," * Start HAART at ANC 1  for Age "&amp;L20&amp;" "&amp;M21&amp;" is more than Starting ART"&amp;CHAR(10),""),IF(N329&gt;SUM(N346)," * Start HAART at ANC 1  for Age "&amp;N20&amp;" "&amp;N21&amp;" is more than Starting ART"&amp;CHAR(10),""),IF(O329&gt;SUM(O346)," * Start HAART at ANC 1  for Age "&amp;N20&amp;" "&amp;O21&amp;" is more than Starting ART"&amp;CHAR(10),""),IF(P329&gt;SUM(P346)," * Start HAART at ANC 1  for Age "&amp;P20&amp;" "&amp;P21&amp;" is more than Starting ART"&amp;CHAR(10),""),IF(Q329&gt;SUM(Q346)," * Start HAART at ANC 1  for Age "&amp;P20&amp;" "&amp;Q21&amp;" is more than Starting ART"&amp;CHAR(10),""),IF(R329&gt;SUM(R346)," * Start HAART at ANC 1  for Age "&amp;R20&amp;" "&amp;R21&amp;" is more than Starting ART"&amp;CHAR(10),""),IF(S329&gt;SUM(S346)," * Start HAART at ANC 1  for Age "&amp;R20&amp;" "&amp;S21&amp;" is more than Starting ART"&amp;CHAR(10),""),IF(T329&gt;SUM(T346)," * Start HAART at ANC 1  for Age "&amp;T20&amp;" "&amp;T21&amp;" is more than Starting ART"&amp;CHAR(10),""),IF(U329&gt;SUM(U346)," * Start HAART at ANC 1  for Age "&amp;T20&amp;" "&amp;U21&amp;" is more than Starting ART"&amp;CHAR(10),""),IF(V329&gt;SUM(V346)," * Start HAART at ANC 1  for Age "&amp;V20&amp;" "&amp;V21&amp;" is more than Starting ART"&amp;CHAR(10),""),IF(W329&gt;SUM(W346)," * Start HAART at ANC 1  for Age "&amp;V20&amp;" "&amp;W21&amp;" is more than Starting ART"&amp;CHAR(10),""),IF(X329&gt;SUM(X346)," * Start HAART at ANC 1  for Age "&amp;X20&amp;" "&amp;X21&amp;" is more than Starting ART"&amp;CHAR(10),""),IF(Y329&gt;SUM(Y346)," * Start HAART at ANC 1  for Age "&amp;X20&amp;" "&amp;Y21&amp;" is more than Starting ART"&amp;CHAR(10),""),IF(Z329&gt;SUM(Z346)," * Start HAART at ANC 1  for Age "&amp;Z20&amp;" "&amp;Z21&amp;" is more than Starting ART"&amp;CHAR(10),""),IF(AA329&gt;SUM(AA346)," * Start HAART at ANC 1  for Age "&amp;Z20&amp;" "&amp;AA21&amp;" is more than Starting ART"&amp;CHAR(10),""))</f>
        <v/>
      </c>
      <c r="AL328" s="1383" t="str">
        <f>CONCATENATE(AK328,AK329,AK333,AK335,AK339,AK340,AK341,AK342,AK334,AK336,AK337,AK331,AK330,AK332,AK338)</f>
        <v/>
      </c>
      <c r="AM328" s="73" t="str">
        <f>CONCATENATE(IF(D328&lt;D293," * ON HAART at 1st ANC for Age "&amp;D20&amp;" "&amp;D21&amp;" is less than KP at 1st ANC "&amp;CHAR(10),""),IF(E328&lt;E293," * ON HAART at 1st ANC for Age "&amp;D20&amp;" "&amp;E21&amp;" is less than KP at 1st ANC "&amp;CHAR(10),""),IF(F328&lt;F293," * ON HAART at 1st ANC for Age "&amp;F20&amp;" "&amp;F21&amp;" is less than KP at 1st ANC "&amp;CHAR(10),""),IF(G328&lt;G293," * ON HAART at 1st ANC for Age "&amp;F20&amp;" "&amp;G21&amp;" is less than KP at 1st ANC "&amp;CHAR(10),""),IF(H328&lt;H293," * ON HAART at 1st ANC for Age "&amp;H20&amp;" "&amp;H21&amp;" is less than KP at 1st ANC "&amp;CHAR(10),""),IF(I328&lt;I293," * ON HAART at 1st ANC for Age "&amp;H20&amp;" "&amp;I21&amp;" is less than KP at 1st ANC "&amp;CHAR(10),""),IF(J328&lt;J293," * ON HAART at 1st ANC for Age "&amp;J20&amp;" "&amp;J21&amp;" is less than KP at 1st ANC "&amp;CHAR(10),""),IF(K328&lt;K293," * ON HAART at 1st ANC for Age "&amp;J20&amp;" "&amp;K21&amp;" is less than KP at 1st ANC "&amp;CHAR(10),""),IF(L328&lt;L293," * ON HAART at 1st ANC for Age "&amp;L20&amp;" "&amp;L21&amp;" is less than KP at 1st ANC "&amp;CHAR(10),""),IF(M328&lt;M293," * ON HAART at 1st ANC for Age "&amp;L20&amp;" "&amp;M21&amp;" is less than KP at 1st ANC "&amp;CHAR(10),""),IF(N328&lt;N293," * ON HAART at 1st ANC for Age "&amp;N20&amp;" "&amp;N21&amp;" is less than KP at 1st ANC "&amp;CHAR(10),""),IF(O328&lt;O293," * ON HAART at 1st ANC for Age "&amp;N20&amp;" "&amp;O21&amp;" is less than KP at 1st ANC "&amp;CHAR(10),""),IF(P328&lt;P293," * ON HAART at 1st ANC for Age "&amp;P20&amp;" "&amp;P21&amp;" is less than KP at 1st ANC "&amp;CHAR(10),""),IF(Q328&lt;Q293," * ON HAART at 1st ANC for Age "&amp;P20&amp;" "&amp;Q21&amp;" is less than KP at 1st ANC "&amp;CHAR(10),""),IF(R328&lt;R293," * ON HAART at 1st ANC for Age "&amp;R20&amp;" "&amp;R21&amp;" is less than KP at 1st ANC "&amp;CHAR(10),""),IF(S328&lt;S293," * ON HAART at 1st ANC for Age "&amp;R20&amp;" "&amp;S21&amp;" is less than KP at 1st ANC "&amp;CHAR(10),""),IF(T328&lt;T293," * ON HAART at 1st ANC for Age "&amp;T20&amp;" "&amp;T21&amp;" is less than KP at 1st ANC "&amp;CHAR(10),""),IF(U328&lt;U293," * ON HAART at 1st ANC for Age "&amp;T20&amp;" "&amp;U21&amp;" is less than KP at 1st ANC "&amp;CHAR(10),""),IF(V328&lt;V293," * ON HAART at 1st ANC for Age "&amp;V20&amp;" "&amp;V21&amp;" is less than KP at 1st ANC "&amp;CHAR(10),""),IF(W328&lt;W293," * ON HAART at 1st ANC for Age "&amp;V20&amp;" "&amp;W21&amp;" is less than KP at 1st ANC "&amp;CHAR(10),""),IF(X328&lt;X293," * ON HAART at 1st ANC for Age "&amp;X20&amp;" "&amp;X21&amp;" is less than KP at 1st ANC "&amp;CHAR(10),""),IF(Y328&lt;Y293," * ON HAART at 1st ANC for Age "&amp;X20&amp;" "&amp;Y21&amp;" is less than KP at 1st ANC "&amp;CHAR(10),""),IF(Z328&lt;Z293," * ON HAART at 1st ANC for Age "&amp;Z20&amp;" "&amp;Z21&amp;" is less than KP at 1st ANC "&amp;CHAR(10),""),IF(AA328&lt;AA293," * ON HAART at 1st ANC for Age "&amp;Z20&amp;" "&amp;AA21&amp;" is less than KP at 1st ANC "&amp;CHAR(10),""))</f>
        <v/>
      </c>
      <c r="AN328" s="1375" t="str">
        <f>CONCATENATE(AM328,AM329,AM333,AM335,AM339,AM340,AM341,AM342,AM330,AM331,AM332,AM336,AM337)</f>
        <v/>
      </c>
      <c r="AO328" s="13">
        <v>230</v>
      </c>
      <c r="AP328" s="74"/>
      <c r="AQ328" s="75"/>
    </row>
    <row r="329" spans="1:43" ht="26.25" x14ac:dyDescent="0.4">
      <c r="A329" s="1336"/>
      <c r="B329" s="2" t="s">
        <v>471</v>
      </c>
      <c r="C329" s="571" t="s">
        <v>347</v>
      </c>
      <c r="D329" s="655"/>
      <c r="E329" s="655"/>
      <c r="F329" s="655"/>
      <c r="G329" s="655"/>
      <c r="H329" s="655"/>
      <c r="I329" s="655"/>
      <c r="J329" s="700"/>
      <c r="K329" s="698"/>
      <c r="L329" s="655"/>
      <c r="M329" s="656"/>
      <c r="N329" s="655"/>
      <c r="O329" s="656"/>
      <c r="P329" s="655"/>
      <c r="Q329" s="656"/>
      <c r="R329" s="655"/>
      <c r="S329" s="656"/>
      <c r="T329" s="655"/>
      <c r="U329" s="656"/>
      <c r="V329" s="655"/>
      <c r="W329" s="656"/>
      <c r="X329" s="655"/>
      <c r="Y329" s="656"/>
      <c r="Z329" s="655"/>
      <c r="AA329" s="708">
        <f t="shared" ref="AA329:AA338" si="138">SUM(AC329,AE329,AG329,AI329)</f>
        <v>0</v>
      </c>
      <c r="AB329" s="622"/>
      <c r="AC329" s="657"/>
      <c r="AD329" s="656"/>
      <c r="AE329" s="657"/>
      <c r="AF329" s="656"/>
      <c r="AG329" s="657"/>
      <c r="AH329" s="666"/>
      <c r="AI329" s="662"/>
      <c r="AJ329" s="658">
        <f t="shared" ref="AJ329:AJ342" si="139">SUM(D329:AA329)</f>
        <v>0</v>
      </c>
      <c r="AK329" s="116" t="str">
        <f>CONCATENATE(IF(D329&gt;SUM(D295)," * Start HAART at ANC 1 for Age "&amp;D20&amp;" "&amp;D21&amp;" is more than Positive Test at ANC 1"&amp;CHAR(10),""),IF(E329&gt;SUM(E295)," * Start HAART at ANC 1  for Age "&amp;D20&amp;" "&amp;E21&amp;" is more than Positive Test at ANC 1"&amp;CHAR(10),""),IF(F329&gt;SUM(F295)," * Start HAART at ANC 1  for Age "&amp;F20&amp;" "&amp;F21&amp;" is more than Positive Test at ANC 1"&amp;CHAR(10),""),IF(G329&gt;SUM(G295)," * Start HAART at ANC 1  for Age "&amp;F20&amp;" "&amp;G21&amp;" is more than Positive Test at ANC 1"&amp;CHAR(10),""),IF(H329&gt;SUM(H295)," * Start HAART at ANC 1  for Age "&amp;H20&amp;" "&amp;H21&amp;" is more than Positive Test at ANC 1"&amp;CHAR(10),""),IF(I329&gt;SUM(I295)," * Start HAART at ANC 1  for Age "&amp;H20&amp;" "&amp;I21&amp;" is more than Positive Test at ANC 1"&amp;CHAR(10),""),IF(J329&gt;SUM(J295)," * Start HAART at ANC 1  for Age "&amp;J20&amp;" "&amp;J21&amp;" is more than Positive Test at ANC 1"&amp;CHAR(10),""),IF(K329&gt;SUM(K295)," * Start HAART at ANC 1  for Age "&amp;J20&amp;" "&amp;K21&amp;" is more than Positive Test at ANC 1"&amp;CHAR(10),""),IF(L329&gt;SUM(L295)," * Start HAART at ANC 1  for Age "&amp;L20&amp;" "&amp;L21&amp;" is more than Positive Test at ANC 1"&amp;CHAR(10),""),IF(M329&gt;SUM(M295)," * Start HAART at ANC 1  for Age "&amp;L20&amp;" "&amp;M21&amp;" is more than Positive Test at ANC 1"&amp;CHAR(10),""),IF(N329&gt;SUM(N295)," * Start HAART at ANC 1  for Age "&amp;N20&amp;" "&amp;N21&amp;" is more than Positive Test at ANC 1"&amp;CHAR(10),""),IF(O329&gt;SUM(O295)," * Start HAART at ANC 1  for Age "&amp;N20&amp;" "&amp;O21&amp;" is more than Positive Test at ANC 1"&amp;CHAR(10),""),IF(P329&gt;SUM(P295)," * Start HAART at ANC 1  for Age "&amp;P20&amp;" "&amp;P21&amp;" is more than Positive Test at ANC 1"&amp;CHAR(10),""),IF(Q329&gt;SUM(Q295)," * Start HAART at ANC 1  for Age "&amp;P20&amp;" "&amp;Q21&amp;" is more than Positive Test at ANC 1"&amp;CHAR(10),""),IF(R329&gt;SUM(R295)," * Start HAART at ANC 1  for Age "&amp;R20&amp;" "&amp;R21&amp;" is more than Positive Test at ANC 1"&amp;CHAR(10),""),IF(S329&gt;SUM(S295)," * Start HAART at ANC 1  for Age "&amp;R20&amp;" "&amp;S21&amp;" is more than Positive Test at ANC 1"&amp;CHAR(10),""),IF(T329&gt;SUM(T295)," * Start HAART at ANC 1  for Age "&amp;T20&amp;" "&amp;T21&amp;" is more than Positive Test at ANC 1"&amp;CHAR(10),""),IF(U329&gt;SUM(U295)," * Start HAART at ANC 1  for Age "&amp;T20&amp;" "&amp;U21&amp;" is more than Positive Test at ANC 1"&amp;CHAR(10),""),IF(V329&gt;SUM(V295)," * Start HAART at ANC 1  for Age "&amp;V20&amp;" "&amp;V21&amp;" is more than Positive Test at ANC 1"&amp;CHAR(10),""),IF(W329&gt;SUM(W295)," * Start HAART at ANC 1  for Age "&amp;V20&amp;" "&amp;W21&amp;" is more than Positive Test at ANC 1"&amp;CHAR(10),""),IF(X329&gt;SUM(X295)," * Start HAART at ANC 1  for Age "&amp;X20&amp;" "&amp;X21&amp;" is more than Positive Test at ANC 1"&amp;CHAR(10),""),IF(Y329&gt;SUM(Y295)," * Start HAART at ANC 1  for Age "&amp;X20&amp;" "&amp;Y21&amp;" is more than Positive Test at ANC 1"&amp;CHAR(10),""),IF(Z329&gt;SUM(Z295)," * Start HAART at ANC 1  for Age "&amp;Z20&amp;" "&amp;Z21&amp;" is more than Positive Test at ANC 1"&amp;CHAR(10),""),IF(AA329&gt;SUM(AA295)," * Start HAART at ANC 1  for Age "&amp;Z20&amp;" "&amp;AA21&amp;" is more than Positive Test at ANC 1"&amp;CHAR(10),""),IF(AJ329&gt;SUM(AJ295)," * Total Start HAART at ANC 1  is more than Positive Test at ANC 1"&amp;CHAR(10),""))</f>
        <v/>
      </c>
      <c r="AL329" s="1384"/>
      <c r="AM329" s="31" t="str">
        <f>CONCATENATE(IF(D329&lt;SUM(D295)," * New positive at ANC1 for Age "&amp;D20&amp;" "&amp;D21&amp;" is greater than Start HAART ANC1"&amp;CHAR(10),""),IF(E329&lt;SUM(E295)," * New positive at ANC1 for Age "&amp;D20&amp;" "&amp;E21&amp;" is greater than Start HAART ANC1"&amp;CHAR(10),""),IF(F329&lt;SUM(F295)," * New positive at ANC1 for Age "&amp;F20&amp;" "&amp;F21&amp;" is greater than Start HAART ANC1"&amp;CHAR(10),""),IF(G329&lt;SUM(G295)," * New positive at ANC1 for Age "&amp;F20&amp;" "&amp;G21&amp;" is greater than Start HAART ANC1"&amp;CHAR(10),""),IF(H329&lt;SUM(H295)," * New positive at ANC1 for Age "&amp;H20&amp;" "&amp;H21&amp;" is greater than Start HAART ANC1"&amp;CHAR(10),""),IF(I329&lt;SUM(I295)," * New positive at ANC1 for Age "&amp;H20&amp;" "&amp;I21&amp;" is greater than Start HAART ANC1"&amp;CHAR(10),""),IF(J329&lt;SUM(J295)," * New positive at ANC1 for Age "&amp;J20&amp;" "&amp;J21&amp;" is greater than Start HAART ANC1"&amp;CHAR(10),""),IF(K329&lt;SUM(K295)," * New positive at ANC1 for Age "&amp;J20&amp;" "&amp;K21&amp;" is greater than Start HAART ANC1"&amp;CHAR(10),""),IF(L329&lt;SUM(L295)," * New positive at ANC1 for Age "&amp;L20&amp;" "&amp;L21&amp;" is greater than Start HAART ANC1"&amp;CHAR(10),""),IF(M329&lt;SUM(M295)," * New positive at ANC1 for Age "&amp;L20&amp;" "&amp;M21&amp;" is greater than Start HAART ANC1"&amp;CHAR(10),""),IF(N329&lt;SUM(N295)," * New positive at ANC1 for Age "&amp;N20&amp;" "&amp;N21&amp;" is greater than Start HAART ANC1"&amp;CHAR(10),""),IF(O329&lt;SUM(O295)," * New positive at ANC1 for Age "&amp;N20&amp;" "&amp;O21&amp;" is greater than Start HAART ANC1"&amp;CHAR(10),""),IF(P329&lt;SUM(P295)," * New positive at ANC1 for Age "&amp;P20&amp;" "&amp;P21&amp;" is greater than Start HAART ANC1"&amp;CHAR(10),""),IF(Q329&lt;SUM(Q295)," * New positive at ANC1 for Age "&amp;P20&amp;" "&amp;Q21&amp;" is greater than Start HAART ANC1"&amp;CHAR(10),""),IF(R329&lt;SUM(R295)," * New positive at ANC1 for Age "&amp;R20&amp;" "&amp;R21&amp;" is greater than Start HAART ANC1"&amp;CHAR(10),""),IF(S329&lt;SUM(S295)," * New positive at ANC1 for Age "&amp;R20&amp;" "&amp;S21&amp;" is greater than Start HAART ANC1"&amp;CHAR(10),""),IF(T329&lt;SUM(T295)," * New positive at ANC1 for Age "&amp;T20&amp;" "&amp;T21&amp;" is greater than Start HAART ANC1"&amp;CHAR(10),""),IF(U329&lt;SUM(U295)," * New positive at ANC1 for Age "&amp;T20&amp;" "&amp;U21&amp;" is greater than Start HAART ANC1"&amp;CHAR(10),""),IF(V329&lt;SUM(V295)," * New positive at ANC1 for Age "&amp;V20&amp;" "&amp;V21&amp;" is greater than Start HAART ANC1"&amp;CHAR(10),""),IF(W329&lt;SUM(W295)," * New positive at ANC1 for Age "&amp;V20&amp;" "&amp;W21&amp;" is greater than Start HAART ANC1"&amp;CHAR(10),""),IF(X329&lt;SUM(X295)," * New positive at ANC1 for Age "&amp;X20&amp;" "&amp;X21&amp;" is greater than Start HAART ANC1"&amp;CHAR(10),""),IF(Y329&lt;SUM(Y295)," * New positive at ANC1 for Age "&amp;X20&amp;" "&amp;Y21&amp;" is greater than Start HAART ANC1"&amp;CHAR(10),""),IF(Z329&lt;SUM(Z295)," * New positive at ANC1 for Age "&amp;Z20&amp;" "&amp;Z21&amp;" is greater than Start HAART ANC1"&amp;CHAR(10),""),IF(AA329&lt;SUM(AA295)," * New positive at ANC1 for Age "&amp;Z20&amp;" "&amp;AA21&amp;" is greater than Start HAART ANC1"&amp;CHAR(10),""))</f>
        <v/>
      </c>
      <c r="AN329" s="1376"/>
      <c r="AO329" s="13">
        <v>231</v>
      </c>
      <c r="AP329" s="74"/>
      <c r="AQ329" s="75"/>
    </row>
    <row r="330" spans="1:43" ht="27" thickBot="1" x14ac:dyDescent="0.45">
      <c r="A330" s="1337"/>
      <c r="B330" s="265" t="s">
        <v>472</v>
      </c>
      <c r="C330" s="592" t="s">
        <v>478</v>
      </c>
      <c r="D330" s="667"/>
      <c r="E330" s="667"/>
      <c r="F330" s="667"/>
      <c r="G330" s="667"/>
      <c r="H330" s="667"/>
      <c r="I330" s="667"/>
      <c r="J330" s="701"/>
      <c r="K330" s="709">
        <f>SUM(K328:K329)</f>
        <v>0</v>
      </c>
      <c r="L330" s="667"/>
      <c r="M330" s="668">
        <f>SUM(M328:M329)</f>
        <v>0</v>
      </c>
      <c r="N330" s="667"/>
      <c r="O330" s="668">
        <f>SUM(O328:O329)</f>
        <v>0</v>
      </c>
      <c r="P330" s="667"/>
      <c r="Q330" s="668">
        <f>SUM(Q328:Q329)</f>
        <v>0</v>
      </c>
      <c r="R330" s="667"/>
      <c r="S330" s="668">
        <f>SUM(S328:S329)</f>
        <v>0</v>
      </c>
      <c r="T330" s="667"/>
      <c r="U330" s="668">
        <f>SUM(U328:U329)</f>
        <v>0</v>
      </c>
      <c r="V330" s="667"/>
      <c r="W330" s="668">
        <f>SUM(W328:W329)</f>
        <v>0</v>
      </c>
      <c r="X330" s="667"/>
      <c r="Y330" s="668">
        <f>SUM(Y328:Y329)</f>
        <v>0</v>
      </c>
      <c r="Z330" s="667"/>
      <c r="AA330" s="687">
        <f t="shared" si="138"/>
        <v>0</v>
      </c>
      <c r="AB330" s="705">
        <f>SUM(AB328:AB329)</f>
        <v>0</v>
      </c>
      <c r="AC330" s="667"/>
      <c r="AD330" s="668">
        <f>SUM(AD328:AD329)</f>
        <v>0</v>
      </c>
      <c r="AE330" s="667"/>
      <c r="AF330" s="668">
        <f>SUM(AF328:AF329)</f>
        <v>0</v>
      </c>
      <c r="AG330" s="667"/>
      <c r="AH330" s="669">
        <f>SUM(AH328:AH329)</f>
        <v>0</v>
      </c>
      <c r="AI330" s="663"/>
      <c r="AJ330" s="658">
        <f t="shared" si="139"/>
        <v>0</v>
      </c>
      <c r="AK330" s="116"/>
      <c r="AL330" s="1384"/>
      <c r="AM330" s="31"/>
      <c r="AN330" s="1376"/>
      <c r="AO330" s="13">
        <v>232</v>
      </c>
      <c r="AP330" s="74"/>
      <c r="AQ330" s="75"/>
    </row>
    <row r="331" spans="1:43" ht="26.25" x14ac:dyDescent="0.4">
      <c r="A331" s="1136" t="s">
        <v>951</v>
      </c>
      <c r="B331" s="1" t="s">
        <v>665</v>
      </c>
      <c r="C331" s="591" t="s">
        <v>479</v>
      </c>
      <c r="D331" s="664"/>
      <c r="E331" s="664"/>
      <c r="F331" s="664"/>
      <c r="G331" s="664"/>
      <c r="H331" s="664"/>
      <c r="I331" s="664"/>
      <c r="J331" s="699"/>
      <c r="K331" s="688"/>
      <c r="L331" s="664"/>
      <c r="M331" s="619"/>
      <c r="N331" s="664"/>
      <c r="O331" s="619"/>
      <c r="P331" s="664"/>
      <c r="Q331" s="619"/>
      <c r="R331" s="664"/>
      <c r="S331" s="619"/>
      <c r="T331" s="664"/>
      <c r="U331" s="619"/>
      <c r="V331" s="664"/>
      <c r="W331" s="619"/>
      <c r="X331" s="664"/>
      <c r="Y331" s="619"/>
      <c r="Z331" s="664"/>
      <c r="AA331" s="686">
        <f t="shared" si="138"/>
        <v>0</v>
      </c>
      <c r="AB331" s="621"/>
      <c r="AC331" s="665"/>
      <c r="AD331" s="619"/>
      <c r="AE331" s="665"/>
      <c r="AF331" s="619"/>
      <c r="AG331" s="665"/>
      <c r="AH331" s="620"/>
      <c r="AI331" s="670"/>
      <c r="AJ331" s="606">
        <f t="shared" si="139"/>
        <v>0</v>
      </c>
      <c r="AK331" s="116"/>
      <c r="AL331" s="1384"/>
      <c r="AM331" s="60" t="str">
        <f>CONCATENATE(IF(D332&lt;&gt;SUM(D301)," * Retest Positive Result at ANC 2 and above for Age "&amp;D20&amp;" "&amp;D21&amp;" is not equal to Initial start HAART at ANC2 and above"&amp;CHAR(10),""),IF(E332&lt;&gt;SUM(E301)," * Retest Positive Result at ANC 2 and above for Age "&amp;D20&amp;" "&amp;E21&amp;" is not equal to Initial start HAART at ANC2 and above"&amp;CHAR(10),""),IF(F332&lt;&gt;SUM(F301)," * Retest Positive Result at ANC 2 and above for Age "&amp;F20&amp;" "&amp;F21&amp;" is not equal to Initial start HAART at ANC2 and above"&amp;CHAR(10),""),IF(G332&lt;&gt;SUM(G301)," * Retest Positive Result at ANC 2 and above for Age "&amp;F20&amp;" "&amp;G21&amp;" is not equal to Initial start HAART at ANC2 and above"&amp;CHAR(10),""),IF(H332&lt;&gt;SUM(H301)," * Retest Positive Result at ANC 2 and above for Age "&amp;H20&amp;" "&amp;H21&amp;" is not equal to Initial start HAART at ANC2 and above"&amp;CHAR(10),""),IF(I332&lt;&gt;SUM(I301)," * Retest Positive Result at ANC 2 and above for Age "&amp;H20&amp;" "&amp;I21&amp;" is not equal to Initial start HAART at ANC2 and above"&amp;CHAR(10),""),IF(J332&lt;&gt;SUM(J301)," * Retest Positive Result at ANC 2 and above for Age "&amp;J20&amp;" "&amp;J21&amp;" is not equal to Initial start HAART at ANC2 and above"&amp;CHAR(10),""),IF(K332&lt;&gt;K301," * Retest Positive Result at ANC 2 and above for Age "&amp;J20&amp;" "&amp;K21&amp;" is not equal to Initial start HAART at ANC2 and above"&amp;CHAR(10),""),IF(L332&lt;&gt;SUM(L301)," * Retest Positive Result at ANC 2 and above for Age "&amp;L20&amp;" "&amp;L21&amp;" is not equal to Initial start HAART at ANC2 and above"&amp;CHAR(10),""),IF(M332&lt;&gt;SUM(M301)," * Retest Positive Result at ANC 2 and above for Age "&amp;L20&amp;" "&amp;M21&amp;" is not equal to Initial start HAART at ANC2 and above"&amp;CHAR(10),""),IF(N332&lt;&gt;SUM(N301)," * Retest Positive Result at ANC 2 and above for Age "&amp;N20&amp;" "&amp;N21&amp;" is not equal to Initial start HAART at ANC2 and above"&amp;CHAR(10),""),IF(O332&lt;&gt;SUM(O301)," * Retest Positive Result at ANC 2 and above for Age "&amp;N20&amp;" "&amp;O21&amp;" is not equal to Initial start HAART at ANC2 and above"&amp;CHAR(10),""),IF(P332&lt;&gt;SUM(P301)," * Retest Positive Result at ANC 2 and above for Age "&amp;P20&amp;" "&amp;P21&amp;" is not equal to Initial start HAART at ANC2 and above"&amp;CHAR(10),""),IF(Q332&lt;&gt;SUM(Q301)," * Retest Positive Result at ANC 2 and above for Age "&amp;P20&amp;" "&amp;Q21&amp;" is not equal to Initial start HAART at ANC2 and above"&amp;CHAR(10),""),IF(R332&lt;&gt;SUM(R301)," * Retest Positive Result at ANC 2 and above for Age "&amp;R20&amp;" "&amp;R21&amp;" is not equal to Initial start HAART at ANC2 and above"&amp;CHAR(10),""),IF(S332&lt;&gt;SUM(S301)," * Retest Positive Result at ANC 2 and above for Age "&amp;R20&amp;" "&amp;S21&amp;" is not equal to Initial start HAART at ANC2 and above"&amp;CHAR(10),""),IF(T332&lt;&gt;SUM(T301)," * Retest Positive Result at ANC 2 and above for Age "&amp;T20&amp;" "&amp;T21&amp;" is not equal to Initial start HAART at ANC2 and above"&amp;CHAR(10),""),IF(U332&lt;&gt;SUM(U301)," * Retest Positive Result at ANC 2 and above for Age "&amp;T20&amp;" "&amp;U21&amp;" is not equal to Initial start HAART at ANC2 and above"&amp;CHAR(10),""),IF(V332&lt;&gt;SUM(V301)," * Retest Positive Result at ANC 2 and above for Age "&amp;V20&amp;" "&amp;V21&amp;" is not equal to Initial start HAART at ANC2 and above"&amp;CHAR(10),""),IF(W332&lt;&gt;SUM(W301)," * Retest Positive Result at ANC 2 and above for Age "&amp;V20&amp;" "&amp;W21&amp;" is not equal to Initial start HAART at ANC2 and above"&amp;CHAR(10),""),IF(X332&lt;&gt;SUM(X301)," * Retest Positive Result at ANC 2 and above for Age "&amp;X20&amp;" "&amp;X21&amp;" is not equal to Initial start HAART at ANC2 and above"&amp;CHAR(10),""),IF(Y332&lt;&gt;SUM(Y301)," * Retest Positive Result at ANC 2 and above for Age "&amp;X20&amp;" "&amp;Y21&amp;" is not equal to Initial start HAART at ANC2 and above"&amp;CHAR(10),""),IF(Z332&lt;&gt;SUM(Z301)," * Retest Positive Result at ANC 2 and above for Age "&amp;Z20&amp;" "&amp;Z21&amp;" is not equal to Initial start HAART at ANC2 and above"&amp;CHAR(10),""),IF(AA332&lt;&gt;SUM(AA301)," * Retest Positive Result at ANC 2 and above for Age "&amp;Z20&amp;" "&amp;AA21&amp;" is not equal to Initial start HAART at ANC2 and above"&amp;CHAR(10),""))</f>
        <v/>
      </c>
      <c r="AN331" s="1376"/>
      <c r="AO331" s="13">
        <v>233</v>
      </c>
      <c r="AP331" s="74"/>
      <c r="AQ331" s="75"/>
    </row>
    <row r="332" spans="1:43" ht="27" thickBot="1" x14ac:dyDescent="0.45">
      <c r="A332" s="1110"/>
      <c r="B332" s="3" t="s">
        <v>474</v>
      </c>
      <c r="C332" s="592" t="s">
        <v>480</v>
      </c>
      <c r="D332" s="667"/>
      <c r="E332" s="667"/>
      <c r="F332" s="667"/>
      <c r="G332" s="667"/>
      <c r="H332" s="667"/>
      <c r="I332" s="667"/>
      <c r="J332" s="701"/>
      <c r="K332" s="689"/>
      <c r="L332" s="667"/>
      <c r="M332" s="672"/>
      <c r="N332" s="667"/>
      <c r="O332" s="672"/>
      <c r="P332" s="667"/>
      <c r="Q332" s="672"/>
      <c r="R332" s="667"/>
      <c r="S332" s="672"/>
      <c r="T332" s="667"/>
      <c r="U332" s="672"/>
      <c r="V332" s="667"/>
      <c r="W332" s="672"/>
      <c r="X332" s="667"/>
      <c r="Y332" s="672"/>
      <c r="Z332" s="667"/>
      <c r="AA332" s="687">
        <f t="shared" si="138"/>
        <v>0</v>
      </c>
      <c r="AB332" s="706"/>
      <c r="AC332" s="673"/>
      <c r="AD332" s="672"/>
      <c r="AE332" s="673"/>
      <c r="AF332" s="672"/>
      <c r="AG332" s="673"/>
      <c r="AH332" s="674"/>
      <c r="AI332" s="671"/>
      <c r="AJ332" s="606">
        <f t="shared" si="139"/>
        <v>0</v>
      </c>
      <c r="AK332" s="116"/>
      <c r="AL332" s="1384"/>
      <c r="AM332" s="60" t="str">
        <f>CONCATENATE(IF(D332&lt;&gt;SUM(D301)," * Retest Positive Result at ANC 2 and above for Age "&amp;D20&amp;" "&amp;D21&amp;" is not equal to Retest start HAART at ANC2 and above"&amp;CHAR(10),""),IF(E332&lt;&gt;SUM(E301)," * Retest Positive Result at ANC 2 and above for Age "&amp;D20&amp;" "&amp;E21&amp;" is not equal to Retest start HAART at ANC2 and above"&amp;CHAR(10),""),IF(F332&lt;&gt;SUM(F301)," * Retest Positive Result at ANC 2 and above for Age "&amp;F20&amp;" "&amp;F21&amp;" is not equal to Retest start HAART at ANC2 and above"&amp;CHAR(10),""),IF(G332&lt;&gt;SUM(G301)," * Retest Positive Result at ANC 2 and above for Age "&amp;F20&amp;" "&amp;G21&amp;" is not equal to Retest start HAART at ANC2 and above"&amp;CHAR(10),""),IF(H332&lt;&gt;SUM(H301)," * Retest Positive Result at ANC 2 and above for Age "&amp;H20&amp;" "&amp;H21&amp;" is not equal to Retest start HAART at ANC2 and above"&amp;CHAR(10),""),IF(I332&lt;&gt;SUM(I301)," * Retest Positive Result at ANC 2 and above for Age "&amp;H20&amp;" "&amp;I21&amp;" is not equal to Retest start HAART at ANC2 and above"&amp;CHAR(10),""),IF(J332&lt;&gt;SUM(J301)," * Retest Positive Result at ANC 2 and above for Age "&amp;J20&amp;" "&amp;J21&amp;" is not equal to Retest start HAART at ANC2 and above"&amp;CHAR(10),""),IF(K332&lt;&gt;K301," * Retest Positive Result at ANC 2 and above for Age "&amp;J20&amp;" "&amp;K21&amp;" is not equal to Retest start HAART at ANC2 and above"&amp;CHAR(10),""),IF(L332&lt;&gt;SUM(L301)," * Retest Positive Result at ANC 2 and above for Age "&amp;L20&amp;" "&amp;L21&amp;" is not equal to Retest start HAART at ANC2 and above"&amp;CHAR(10),""),IF(M332&lt;&gt;SUM(M301)," * Retest Positive Result at ANC 2 and above for Age "&amp;L20&amp;" "&amp;M21&amp;" is not equal to Retest start HAART at ANC2 and above"&amp;CHAR(10),""),IF(N332&lt;&gt;SUM(N301)," * Retest Positive Result at ANC 2 and above for Age "&amp;N20&amp;" "&amp;N21&amp;" is not equal to Retest start HAART at ANC2 and above"&amp;CHAR(10),""),IF(O332&lt;&gt;SUM(O301)," * Retest Positive Result at ANC 2 and above for Age "&amp;N20&amp;" "&amp;O21&amp;" is not equal to Retest start HAART at ANC2 and above"&amp;CHAR(10),""),IF(P332&lt;&gt;SUM(P301)," * Retest Positive Result at ANC 2 and above for Age "&amp;P20&amp;" "&amp;P21&amp;" is not equal to Retest start HAART at ANC2 and above"&amp;CHAR(10),""),IF(Q332&lt;&gt;SUM(Q301)," * Retest Positive Result at ANC 2 and above for Age "&amp;P20&amp;" "&amp;Q21&amp;" is not equal to Retest start HAART at ANC2 and above"&amp;CHAR(10),""),IF(R332&lt;&gt;SUM(R301)," * Retest Positive Result at ANC 2 and above for Age "&amp;R20&amp;" "&amp;R21&amp;" is not equal to Retest start HAART at ANC2 and above"&amp;CHAR(10),""),IF(S332&lt;&gt;SUM(S301)," * Retest Positive Result at ANC 2 and above for Age "&amp;R20&amp;" "&amp;S21&amp;" is not equal to Retest start HAART at ANC2 and above"&amp;CHAR(10),""),IF(T332&lt;&gt;SUM(T301)," * Retest Positive Result at ANC 2 and above for Age "&amp;T20&amp;" "&amp;T21&amp;" is not equal to Retest start HAART at ANC2 and above"&amp;CHAR(10),""),IF(U332&lt;&gt;SUM(U301)," * Retest Positive Result at ANC 2 and above for Age "&amp;T20&amp;" "&amp;U21&amp;" is not equal to Retest start HAART at ANC2 and above"&amp;CHAR(10),""),IF(V332&lt;&gt;SUM(V301)," * Retest Positive Result at ANC 2 and above for Age "&amp;V20&amp;" "&amp;V21&amp;" is not equal to Retest start HAART at ANC2 and above"&amp;CHAR(10),""),IF(W332&lt;&gt;SUM(W301)," * Retest Positive Result at ANC 2 and above for Age "&amp;V20&amp;" "&amp;W21&amp;" is not equal to Retest start HAART at ANC2 and above"&amp;CHAR(10),""),IF(X332&lt;&gt;SUM(X301)," * Retest Positive Result at ANC 2 and above for Age "&amp;X20&amp;" "&amp;X21&amp;" is not equal to Retest start HAART at ANC2 and above"&amp;CHAR(10),""),IF(Y332&lt;&gt;SUM(Y301)," * Retest Positive Result at ANC 2 and above for Age "&amp;X20&amp;" "&amp;Y21&amp;" is not equal to Retest start HAART at ANC2 and above"&amp;CHAR(10),""),IF(Z332&lt;&gt;SUM(Z301)," * Retest Positive Result at ANC 2 and above for Age "&amp;Z20&amp;" "&amp;Z21&amp;" is not equal to Retest start HAART at ANC2 and above"&amp;CHAR(10),""),IF(AA332&lt;&gt;SUM(AA301)," * Retest Positive Result at ANC 2 and above for Age "&amp;Z20&amp;" "&amp;AA21&amp;" is not equal to Retest start HAART at ANC2 and above"&amp;CHAR(10),""))</f>
        <v/>
      </c>
      <c r="AN332" s="1376"/>
      <c r="AO332" s="13">
        <v>234</v>
      </c>
      <c r="AP332" s="74"/>
      <c r="AQ332" s="75"/>
    </row>
    <row r="333" spans="1:43" s="61" customFormat="1" ht="26.25" x14ac:dyDescent="0.4">
      <c r="A333" s="1402" t="s">
        <v>461</v>
      </c>
      <c r="B333" s="1" t="s">
        <v>1305</v>
      </c>
      <c r="C333" s="591" t="s">
        <v>348</v>
      </c>
      <c r="D333" s="664"/>
      <c r="E333" s="664"/>
      <c r="F333" s="664"/>
      <c r="G333" s="664"/>
      <c r="H333" s="664"/>
      <c r="I333" s="664"/>
      <c r="J333" s="699"/>
      <c r="K333" s="688"/>
      <c r="L333" s="664"/>
      <c r="M333" s="619"/>
      <c r="N333" s="664"/>
      <c r="O333" s="619"/>
      <c r="P333" s="664"/>
      <c r="Q333" s="619"/>
      <c r="R333" s="664"/>
      <c r="S333" s="619"/>
      <c r="T333" s="664"/>
      <c r="U333" s="619"/>
      <c r="V333" s="664"/>
      <c r="W333" s="619"/>
      <c r="X333" s="664"/>
      <c r="Y333" s="619"/>
      <c r="Z333" s="664"/>
      <c r="AA333" s="686">
        <f t="shared" si="138"/>
        <v>0</v>
      </c>
      <c r="AB333" s="621"/>
      <c r="AC333" s="665"/>
      <c r="AD333" s="619"/>
      <c r="AE333" s="665"/>
      <c r="AF333" s="619"/>
      <c r="AG333" s="665"/>
      <c r="AH333" s="620"/>
      <c r="AI333" s="671"/>
      <c r="AJ333" s="606">
        <f t="shared" si="139"/>
        <v>0</v>
      </c>
      <c r="AK333" s="226" t="str">
        <f>CONCATENATE(IF(D333&gt;D303," * start HAART L&amp;D  for Age "&amp;D20&amp;" "&amp;D21&amp;" is more than Positive Result L&amp;D "&amp;CHAR(10),""),IF(E333&gt;E303," * start HAART L&amp;D  for Age "&amp;D20&amp;" "&amp;E21&amp;" is more than Positive Result L&amp;D "&amp;CHAR(10),""),IF(F333&gt;F303," * start HAART L&amp;D  for Age "&amp;F20&amp;" "&amp;F21&amp;" is more than Positive Result L&amp;D "&amp;CHAR(10),""),IF(G333&gt;G303," * start HAART L&amp;D  for Age "&amp;F20&amp;" "&amp;G21&amp;" is more than Positive Result L&amp;D "&amp;CHAR(10),""),IF(H333&gt;H303," * start HAART L&amp;D  for Age "&amp;H20&amp;" "&amp;H21&amp;" is more than Positive Result L&amp;D "&amp;CHAR(10),""),IF(I333&gt;I303," * start HAART L&amp;D  for Age "&amp;H20&amp;" "&amp;I21&amp;" is more than Positive Result L&amp;D "&amp;CHAR(10),""),IF(J333&gt;J303," * start HAART L&amp;D  for Age "&amp;J20&amp;" "&amp;J21&amp;" is more than Positive Result L&amp;D "&amp;CHAR(10),""),IF(K333&gt;K303," * start HAART L&amp;D  for Age "&amp;J20&amp;" "&amp;K21&amp;" is more than Positive Result L&amp;D "&amp;CHAR(10),""),IF(L333&gt;L303," * start HAART L&amp;D  for Age "&amp;L20&amp;" "&amp;L21&amp;" is more than Positive Result L&amp;D "&amp;CHAR(10),""),IF(M333&gt;M303," * start HAART L&amp;D  for Age "&amp;L20&amp;" "&amp;M21&amp;" is more than Positive Result L&amp;D "&amp;CHAR(10),""),IF(N333&gt;N303," * start HAART L&amp;D  for Age "&amp;N20&amp;" "&amp;N21&amp;" is more than Positive Result L&amp;D "&amp;CHAR(10),""),IF(O333&gt;O303," * start HAART L&amp;D  for Age "&amp;N20&amp;" "&amp;O21&amp;" is more than Positive Result L&amp;D "&amp;CHAR(10),""),IF(P333&gt;P303," * start HAART L&amp;D  for Age "&amp;P20&amp;" "&amp;P21&amp;" is more than Positive Result L&amp;D "&amp;CHAR(10),""),IF(Q333&gt;Q303," * start HAART L&amp;D  for Age "&amp;P20&amp;" "&amp;Q21&amp;" is more than Positive Result L&amp;D "&amp;CHAR(10),""),IF(R333&gt;R303," * start HAART L&amp;D  for Age "&amp;R20&amp;" "&amp;R21&amp;" is more than Positive Result L&amp;D "&amp;CHAR(10),""),IF(S333&gt;S303," * start HAART L&amp;D  for Age "&amp;R20&amp;" "&amp;S21&amp;" is more than Positive Result L&amp;D "&amp;CHAR(10),""),IF(T333&gt;T303," * start HAART L&amp;D  for Age "&amp;T20&amp;" "&amp;T21&amp;" is more than Positive Result L&amp;D "&amp;CHAR(10),""),IF(U333&gt;U303," * start HAART L&amp;D  for Age "&amp;T20&amp;" "&amp;U21&amp;" is more than Positive Result L&amp;D "&amp;CHAR(10),""),IF(V333&gt;V303," * start HAART L&amp;D  for Age "&amp;V20&amp;" "&amp;V21&amp;" is more than Positive Result L&amp;D "&amp;CHAR(10),""),IF(W333&gt;W303," * start HAART L&amp;D  for Age "&amp;V20&amp;" "&amp;W21&amp;" is more than Positive Result L&amp;D "&amp;CHAR(10),""),IF(X333&gt;X303," * start HAART L&amp;D  for Age "&amp;X20&amp;" "&amp;X21&amp;" is more than Positive Result L&amp;D "&amp;CHAR(10),""),IF(Y333&gt;Y303," * start HAART L&amp;D  for Age "&amp;X20&amp;" "&amp;Y21&amp;" is more than Positive Result L&amp;D "&amp;CHAR(10),""),IF(Z333&gt;Z303," * start HAART L&amp;D  for Age "&amp;Z20&amp;" "&amp;Z21&amp;" is more than Positive Result L&amp;D "&amp;CHAR(10),""),IF(AA333&gt;AA303," * start HAART L&amp;D  for Age "&amp;Z20&amp;" "&amp;AA21&amp;" is more than Positive Result L&amp;D "&amp;CHAR(10),"")
)</f>
        <v/>
      </c>
      <c r="AL333" s="1384"/>
      <c r="AM333" s="60" t="str">
        <f>CONCATENATE(IF(D333&lt;D303," * start HAART L&amp;D  for Age "&amp;D20&amp;" "&amp;D21&amp;" is less than Positive Result L&amp;D "&amp;CHAR(10),""),IF(E333&lt;E303," * start HAART L&amp;D  for Age "&amp;D20&amp;" "&amp;E21&amp;" is less than Positive Result L&amp;D "&amp;CHAR(10),""),IF(F333&lt;F303," * start HAART L&amp;D  for Age "&amp;F20&amp;" "&amp;F21&amp;" is less than Positive Result L&amp;D "&amp;CHAR(10),""),IF(G333&lt;G303," * start HAART L&amp;D  for Age "&amp;F20&amp;" "&amp;G21&amp;" is less than Positive Result L&amp;D "&amp;CHAR(10),""),IF(H333&lt;H303," * start HAART L&amp;D  for Age "&amp;H20&amp;" "&amp;H21&amp;" is less than Positive Result L&amp;D "&amp;CHAR(10),""),IF(I333&lt;I303," * start HAART L&amp;D  for Age "&amp;H20&amp;" "&amp;I21&amp;" is less than Positive Result L&amp;D "&amp;CHAR(10),""),IF(J333&lt;J303," * start HAART L&amp;D  for Age "&amp;J20&amp;" "&amp;J21&amp;" is less than Positive Result L&amp;D "&amp;CHAR(10),""),IF(K333&lt;K303," * start HAART L&amp;D  for Age "&amp;J20&amp;" "&amp;K21&amp;" is less than Positive Result L&amp;D "&amp;CHAR(10),""),IF(L333&lt;L303," * start HAART L&amp;D  for Age "&amp;L20&amp;" "&amp;L21&amp;" is less than Positive Result L&amp;D "&amp;CHAR(10),""),IF(M333&lt;M303," * start HAART L&amp;D  for Age "&amp;L20&amp;" "&amp;M21&amp;" is less than Positive Result L&amp;D "&amp;CHAR(10),""),IF(N333&lt;N303," * start HAART L&amp;D  for Age "&amp;N20&amp;" "&amp;N21&amp;" is less than Positive Result L&amp;D "&amp;CHAR(10),""),IF(O333&lt;O303," * start HAART L&amp;D  for Age "&amp;N20&amp;" "&amp;O21&amp;" is less than Positive Result L&amp;D "&amp;CHAR(10),""),IF(P333&lt;P303," * start HAART L&amp;D  for Age "&amp;P20&amp;" "&amp;P21&amp;" is less than Positive Result L&amp;D "&amp;CHAR(10),""),IF(Q333&lt;Q303," * start HAART L&amp;D  for Age "&amp;P20&amp;" "&amp;Q21&amp;" is less than Positive Result L&amp;D "&amp;CHAR(10),""),IF(R333&lt;R303," * start HAART L&amp;D  for Age "&amp;R20&amp;" "&amp;R21&amp;" is less than Positive Result L&amp;D "&amp;CHAR(10),""),IF(S333&lt;S303," * start HAART L&amp;D  for Age "&amp;R20&amp;" "&amp;S21&amp;" is less than Positive Result L&amp;D "&amp;CHAR(10),""),IF(T333&lt;T303," * start HAART L&amp;D  for Age "&amp;T20&amp;" "&amp;T21&amp;" is less than Positive Result L&amp;D "&amp;CHAR(10),""),IF(U333&lt;U303," * start HAART L&amp;D  for Age "&amp;T20&amp;" "&amp;U21&amp;" is less than Positive Result L&amp;D "&amp;CHAR(10),""),IF(V333&lt;V303," * start HAART L&amp;D  for Age "&amp;V20&amp;" "&amp;V21&amp;" is less than Positive Result L&amp;D "&amp;CHAR(10),""),IF(W333&lt;W303," * start HAART L&amp;D  for Age "&amp;V20&amp;" "&amp;W21&amp;" is less than Positive Result L&amp;D "&amp;CHAR(10),""),IF(X333&lt;X303," * start HAART L&amp;D  for Age "&amp;X20&amp;" "&amp;X21&amp;" is less than Positive Result L&amp;D "&amp;CHAR(10),""),IF(Y333&lt;Y303," * start HAART L&amp;D  for Age "&amp;X20&amp;" "&amp;Y21&amp;" is less than Positive Result L&amp;D "&amp;CHAR(10),""),IF(Z333&lt;Z303," * start HAART L&amp;D  for Age "&amp;Z20&amp;" "&amp;Z21&amp;" is less than Positive Result L&amp;D "&amp;CHAR(10),""),IF(AA333&lt;AA303," * start HAART L&amp;D  for Age "&amp;Z20&amp;" "&amp;AA21&amp;" is less than Positive Result L&amp;D "&amp;CHAR(10),""))</f>
        <v/>
      </c>
      <c r="AN333" s="1376"/>
      <c r="AO333" s="13">
        <v>235</v>
      </c>
      <c r="AP333" s="80"/>
      <c r="AQ333" s="75"/>
    </row>
    <row r="334" spans="1:43" s="61" customFormat="1" ht="27" thickBot="1" x14ac:dyDescent="0.45">
      <c r="A334" s="1403"/>
      <c r="B334" s="3" t="s">
        <v>605</v>
      </c>
      <c r="C334" s="592" t="s">
        <v>606</v>
      </c>
      <c r="D334" s="667"/>
      <c r="E334" s="667"/>
      <c r="F334" s="667"/>
      <c r="G334" s="667"/>
      <c r="H334" s="667"/>
      <c r="I334" s="667"/>
      <c r="J334" s="701"/>
      <c r="K334" s="689"/>
      <c r="L334" s="667"/>
      <c r="M334" s="672"/>
      <c r="N334" s="667"/>
      <c r="O334" s="672"/>
      <c r="P334" s="667"/>
      <c r="Q334" s="672"/>
      <c r="R334" s="667"/>
      <c r="S334" s="672"/>
      <c r="T334" s="667"/>
      <c r="U334" s="672"/>
      <c r="V334" s="667"/>
      <c r="W334" s="672"/>
      <c r="X334" s="667"/>
      <c r="Y334" s="672"/>
      <c r="Z334" s="667"/>
      <c r="AA334" s="687">
        <f t="shared" si="138"/>
        <v>0</v>
      </c>
      <c r="AB334" s="706"/>
      <c r="AC334" s="673"/>
      <c r="AD334" s="672"/>
      <c r="AE334" s="673"/>
      <c r="AF334" s="672"/>
      <c r="AG334" s="673"/>
      <c r="AH334" s="674"/>
      <c r="AI334" s="671"/>
      <c r="AJ334" s="606">
        <f t="shared" si="139"/>
        <v>0</v>
      </c>
      <c r="AK334" s="226" t="str">
        <f>CONCATENATE(IF(D334&gt;D305," * Retested start HAART L&amp;D  for Age "&amp;D20&amp;" "&amp;D21&amp;" is more than Retested Positive Result L&amp;D "&amp;CHAR(10),""),IF(E334&gt;E305," * Retested start HAART L&amp;D  for Age "&amp;D20&amp;" "&amp;E21&amp;" is more than Retested Positive Result L&amp;D "&amp;CHAR(10),""),IF(F334&gt;F305," * Retested start HAART L&amp;D  for Age "&amp;F20&amp;" "&amp;F21&amp;" is more than Retested Positive Result L&amp;D "&amp;CHAR(10),""),IF(G334&gt;G305," * Retested start HAART L&amp;D  for Age "&amp;F20&amp;" "&amp;G21&amp;" is more than Retested Positive Result L&amp;D "&amp;CHAR(10),""),IF(H334&gt;H305," * Retested start HAART L&amp;D  for Age "&amp;H20&amp;" "&amp;H21&amp;" is more than Retested Positive Result L&amp;D "&amp;CHAR(10),""),IF(I334&gt;I305," * Retested start HAART L&amp;D  for Age "&amp;H20&amp;" "&amp;I21&amp;" is more than Retested Positive Result L&amp;D "&amp;CHAR(10),""),IF(J334&gt;J305," * Retested start HAART L&amp;D  for Age "&amp;J20&amp;" "&amp;J21&amp;" is more than Retested Positive Result L&amp;D "&amp;CHAR(10),""),IF(K334&gt;K305," * Retested start HAART L&amp;D  for Age "&amp;J20&amp;" "&amp;K21&amp;" is more than Retested Positive Result L&amp;D "&amp;CHAR(10),""),IF(L334&gt;L305," * Retested start HAART L&amp;D  for Age "&amp;L20&amp;" "&amp;L21&amp;" is more than Retested Positive Result L&amp;D "&amp;CHAR(10),""),IF(M334&gt;M305," * Retested start HAART L&amp;D  for Age "&amp;L20&amp;" "&amp;M21&amp;" is more than Retested Positive Result L&amp;D "&amp;CHAR(10),""),IF(N334&gt;N305," * Retested start HAART L&amp;D  for Age "&amp;N20&amp;" "&amp;N21&amp;" is more than Retested Positive Result L&amp;D "&amp;CHAR(10),""),IF(O334&gt;O305," * Retested start HAART L&amp;D  for Age "&amp;N20&amp;" "&amp;O21&amp;" is more than Retested Positive Result L&amp;D "&amp;CHAR(10),""),IF(P334&gt;P305," * Retested start HAART L&amp;D  for Age "&amp;P20&amp;" "&amp;P21&amp;" is more than Retested Positive Result L&amp;D "&amp;CHAR(10),""),IF(Q334&gt;Q305," * Retested start HAART L&amp;D  for Age "&amp;P20&amp;" "&amp;Q21&amp;" is more than Retested Positive Result L&amp;D "&amp;CHAR(10),""),IF(R334&gt;R305," * Retested start HAART L&amp;D  for Age "&amp;R20&amp;" "&amp;R21&amp;" is more than Retested Positive Result L&amp;D "&amp;CHAR(10),""),IF(S334&gt;S305," * Retested start HAART L&amp;D  for Age "&amp;R20&amp;" "&amp;S21&amp;" is more than Retested Positive Result L&amp;D "&amp;CHAR(10),""),IF(T334&gt;T305," * Retested start HAART L&amp;D  for Age "&amp;T20&amp;" "&amp;T21&amp;" is more than Retested Positive Result L&amp;D "&amp;CHAR(10),""),IF(U334&gt;U305," * Retested start HAART L&amp;D  for Age "&amp;T20&amp;" "&amp;U21&amp;" is more than Retested Positive Result L&amp;D "&amp;CHAR(10),""),IF(V334&gt;V305," * Retested start HAART L&amp;D  for Age "&amp;V20&amp;" "&amp;V21&amp;" is more than Retested Positive Result L&amp;D "&amp;CHAR(10),""),IF(W334&gt;W305," * Retested start HAART L&amp;D  for Age "&amp;V20&amp;" "&amp;W21&amp;" is more than Retested Positive Result L&amp;D "&amp;CHAR(10),""),IF(X334&gt;X305," * Retested start HAART L&amp;D  for Age "&amp;X20&amp;" "&amp;X21&amp;" is more than Retested Positive Result L&amp;D "&amp;CHAR(10),""),IF(Y334&gt;Y305," * Retested start HAART L&amp;D  for Age "&amp;X20&amp;" "&amp;Y21&amp;" is more than Retested Positive Result L&amp;D "&amp;CHAR(10),""),IF(Z334&gt;Z305," * Retested start HAART L&amp;D  for Age "&amp;Z20&amp;" "&amp;Z21&amp;" is more than Retested Positive Result L&amp;D "&amp;CHAR(10),""),IF(AA334&gt;AA305," * Retested start HAART L&amp;D  for Age "&amp;Z20&amp;" "&amp;AA21&amp;" is more than Retested Positive Result L&amp;D "&amp;CHAR(10),"")
)</f>
        <v/>
      </c>
      <c r="AL334" s="1384"/>
      <c r="AM334" s="60"/>
      <c r="AN334" s="1376"/>
      <c r="AO334" s="13">
        <v>236</v>
      </c>
      <c r="AP334" s="80"/>
      <c r="AQ334" s="75"/>
    </row>
    <row r="335" spans="1:43" ht="26.25" x14ac:dyDescent="0.4">
      <c r="A335" s="1124" t="s">
        <v>464</v>
      </c>
      <c r="B335" s="1" t="s">
        <v>476</v>
      </c>
      <c r="C335" s="591" t="s">
        <v>349</v>
      </c>
      <c r="D335" s="664"/>
      <c r="E335" s="664"/>
      <c r="F335" s="664"/>
      <c r="G335" s="664"/>
      <c r="H335" s="664"/>
      <c r="I335" s="664"/>
      <c r="J335" s="699"/>
      <c r="K335" s="688"/>
      <c r="L335" s="664"/>
      <c r="M335" s="619"/>
      <c r="N335" s="664"/>
      <c r="O335" s="619"/>
      <c r="P335" s="664"/>
      <c r="Q335" s="619"/>
      <c r="R335" s="664"/>
      <c r="S335" s="619"/>
      <c r="T335" s="664"/>
      <c r="U335" s="619"/>
      <c r="V335" s="664"/>
      <c r="W335" s="619"/>
      <c r="X335" s="664"/>
      <c r="Y335" s="619"/>
      <c r="Z335" s="664"/>
      <c r="AA335" s="686">
        <f t="shared" si="138"/>
        <v>0</v>
      </c>
      <c r="AB335" s="621"/>
      <c r="AC335" s="665"/>
      <c r="AD335" s="619"/>
      <c r="AE335" s="665"/>
      <c r="AF335" s="619"/>
      <c r="AG335" s="665"/>
      <c r="AH335" s="620"/>
      <c r="AI335" s="671"/>
      <c r="AJ335" s="606">
        <f t="shared" si="139"/>
        <v>0</v>
      </c>
      <c r="AK335" s="116" t="str">
        <f>CONCATENATE(IF(D335&gt;D307," * F06-16 for Age "&amp;D20&amp;" "&amp;D21&amp;" is more than F06-10"&amp;CHAR(10),""),IF(E335&gt;E307," * F06-16 for Age "&amp;D20&amp;" "&amp;E21&amp;" is more than F06-10"&amp;CHAR(10),""),IF(F335&gt;F307," * F06-16 for Age "&amp;F20&amp;" "&amp;F21&amp;" is more than F06-10"&amp;CHAR(10),""),IF(G335&gt;G307," * F06-16 for Age "&amp;F20&amp;" "&amp;G21&amp;" is more than F06-10"&amp;CHAR(10),""),IF(H335&gt;H307," * F06-16 for Age "&amp;H20&amp;" "&amp;H21&amp;" is more than F06-10"&amp;CHAR(10),""),IF(I335&gt;I307," * F06-16 for Age "&amp;H20&amp;" "&amp;I21&amp;" is more than F06-10"&amp;CHAR(10),""),IF(J335&gt;J307," * F06-16 for Age "&amp;J20&amp;" "&amp;J21&amp;" is more than F06-10"&amp;CHAR(10),""),IF(K335&gt;K307," * F06-16 for Age "&amp;J20&amp;" "&amp;K21&amp;" is more than F06-10"&amp;CHAR(10),""),IF(L335&gt;L307," * F06-16 for Age "&amp;L20&amp;" "&amp;L21&amp;" is more than F06-10"&amp;CHAR(10),""),IF(M335&gt;M307," * F06-16 for Age "&amp;L20&amp;" "&amp;M21&amp;" is more than F06-10"&amp;CHAR(10),""),IF(N335&gt;N307," * F06-16 for Age "&amp;N20&amp;" "&amp;N21&amp;" is more than F06-10"&amp;CHAR(10),""),IF(O335&gt;O307," * F06-16 for Age "&amp;N20&amp;" "&amp;O21&amp;" is more than F06-10"&amp;CHAR(10),""),IF(P335&gt;P307," * F06-16 for Age "&amp;P20&amp;" "&amp;P21&amp;" is more than F06-10"&amp;CHAR(10),""),IF(Q335&gt;Q307," * F06-16 for Age "&amp;P20&amp;" "&amp;Q21&amp;" is more than F06-10"&amp;CHAR(10),""),IF(R335&gt;R307," * F06-16 for Age "&amp;R20&amp;" "&amp;R21&amp;" is more than F06-10"&amp;CHAR(10),""),IF(S335&gt;S307," * F06-16 for Age "&amp;R20&amp;" "&amp;S21&amp;" is more than F06-10"&amp;CHAR(10),""),IF(T335&gt;T307," * F06-16 for Age "&amp;T20&amp;" "&amp;T21&amp;" is more than F06-10"&amp;CHAR(10),""),IF(U335&gt;U307," * F06-16 for Age "&amp;T20&amp;" "&amp;U21&amp;" is more than F06-10"&amp;CHAR(10),""),IF(V335&gt;V307," * F06-16 for Age "&amp;V20&amp;" "&amp;V21&amp;" is more than F06-10"&amp;CHAR(10),""),IF(W335&gt;W307," * F06-16 for Age "&amp;V20&amp;" "&amp;W21&amp;" is more than F06-10"&amp;CHAR(10),""),IF(X335&gt;X307," * F06-16 for Age "&amp;X20&amp;" "&amp;X21&amp;" is more than F06-10"&amp;CHAR(10),""),IF(Y335&gt;Y307," * F06-16 for Age "&amp;X20&amp;" "&amp;Y21&amp;" is more than F06-10"&amp;CHAR(10),""),IF(Z335&gt;Z307," * F06-16 for Age "&amp;Z20&amp;" "&amp;Z21&amp;" is more than F06-10"&amp;CHAR(10),""),IF(AA335&gt;AA307," * F06-16 for Age "&amp;Z20&amp;" "&amp;AA21&amp;" is more than F06-10"&amp;CHAR(10),""),IF(AJ335&gt;AJ307," * Total F06-16 is more than Total F06-10"&amp;CHAR(10),""))</f>
        <v/>
      </c>
      <c r="AL335" s="1384"/>
      <c r="AM335" s="31" t="str">
        <f>CONCATENATE(IF(D335&lt;D307," * F06-16 for Age "&amp;D20&amp;" "&amp;D21&amp;" is less than F06-10"&amp;CHAR(10),""),IF(E335&lt;E307," * F06-16 for Age "&amp;D20&amp;" "&amp;E21&amp;" is less than F06-10"&amp;CHAR(10),""),IF(F335&lt;F307," * F06-16 for Age "&amp;F20&amp;" "&amp;F21&amp;" is less than F06-10"&amp;CHAR(10),""),IF(G335&lt;G307," * F06-16 for Age "&amp;F20&amp;" "&amp;G21&amp;" is less than F06-10"&amp;CHAR(10),""),IF(H335&lt;H307," * F06-16 for Age "&amp;H20&amp;" "&amp;H21&amp;" is less than F06-10"&amp;CHAR(10),""),IF(I335&lt;I307," * F06-16 for Age "&amp;H20&amp;" "&amp;I21&amp;" is less than F06-10"&amp;CHAR(10),""),IF(J335&lt;J307," * F06-16 for Age "&amp;J20&amp;" "&amp;J21&amp;" is less than F06-10"&amp;CHAR(10),""),IF(K335&lt;K307," * F06-16 for Age "&amp;J20&amp;" "&amp;K21&amp;" is less than F06-10"&amp;CHAR(10),""),IF(L335&lt;L307," * F06-16 for Age "&amp;L20&amp;" "&amp;L21&amp;" is less than F06-10"&amp;CHAR(10),""),IF(M335&lt;M307," * F06-16 for Age "&amp;L20&amp;" "&amp;M21&amp;" is less than F06-10"&amp;CHAR(10),""),IF(N335&lt;N307," * F06-16 for Age "&amp;N20&amp;" "&amp;N21&amp;" is less than F06-10"&amp;CHAR(10),""),IF(O335&lt;O307," * F06-16 for Age "&amp;N20&amp;" "&amp;O21&amp;" is less than F06-10"&amp;CHAR(10),""),IF(P335&lt;P307," * F06-16 for Age "&amp;P20&amp;" "&amp;P21&amp;" is less than F06-10"&amp;CHAR(10),""),IF(Q335&lt;Q307," * F06-16 for Age "&amp;P20&amp;" "&amp;Q21&amp;" is less than F06-10"&amp;CHAR(10),""),IF(R335&lt;R307," * F06-16 for Age "&amp;R20&amp;" "&amp;R21&amp;" is less than F06-10"&amp;CHAR(10),""),IF(S335&lt;S307," * F06-16 for Age "&amp;R20&amp;" "&amp;S21&amp;" is less than F06-10"&amp;CHAR(10),""),IF(T335&lt;T307," * F06-16 for Age "&amp;T20&amp;" "&amp;T21&amp;" is less than F06-10"&amp;CHAR(10),""),IF(U335&lt;U307," * F06-16 for Age "&amp;T20&amp;" "&amp;U21&amp;" is less than F06-10"&amp;CHAR(10),""),IF(V335&lt;V307," * F06-16 for Age "&amp;V20&amp;" "&amp;V21&amp;" is less than F06-10"&amp;CHAR(10),""),IF(W335&lt;W307," * F06-16 for Age "&amp;V20&amp;" "&amp;W21&amp;" is less than F06-10"&amp;CHAR(10),""),IF(X335&lt;X307," * F06-16 for Age "&amp;X20&amp;" "&amp;X21&amp;" is less than F06-10"&amp;CHAR(10),""),IF(Y335&lt;Y307," * F06-16 for Age "&amp;X20&amp;" "&amp;Y21&amp;" is less than F06-10"&amp;CHAR(10),""),IF(Z335&lt;Z307," * F06-16 for Age "&amp;Z20&amp;" "&amp;Z21&amp;" is less than F06-10"&amp;CHAR(10),""),IF(AA335&lt;AA307," * F06-16 for Age "&amp;Z20&amp;" "&amp;AA21&amp;" is less than F06-10"&amp;CHAR(10),""),IF(AJ335&lt;AJ307," * Total F06-16 is less than Total F06-10"&amp;CHAR(10),""))</f>
        <v/>
      </c>
      <c r="AN335" s="1376"/>
      <c r="AO335" s="13">
        <v>237</v>
      </c>
      <c r="AP335" s="74"/>
      <c r="AQ335" s="75"/>
    </row>
    <row r="336" spans="1:43" ht="27" thickBot="1" x14ac:dyDescent="0.45">
      <c r="A336" s="1125"/>
      <c r="B336" s="3" t="s">
        <v>477</v>
      </c>
      <c r="C336" s="592" t="s">
        <v>481</v>
      </c>
      <c r="D336" s="667"/>
      <c r="E336" s="667"/>
      <c r="F336" s="667"/>
      <c r="G336" s="667"/>
      <c r="H336" s="667"/>
      <c r="I336" s="667"/>
      <c r="J336" s="701"/>
      <c r="K336" s="689"/>
      <c r="L336" s="667"/>
      <c r="M336" s="672"/>
      <c r="N336" s="667"/>
      <c r="O336" s="672"/>
      <c r="P336" s="667"/>
      <c r="Q336" s="672"/>
      <c r="R336" s="667"/>
      <c r="S336" s="672"/>
      <c r="T336" s="667"/>
      <c r="U336" s="672"/>
      <c r="V336" s="667"/>
      <c r="W336" s="672"/>
      <c r="X336" s="667"/>
      <c r="Y336" s="672"/>
      <c r="Z336" s="667"/>
      <c r="AA336" s="687">
        <f t="shared" si="138"/>
        <v>0</v>
      </c>
      <c r="AB336" s="706"/>
      <c r="AC336" s="673"/>
      <c r="AD336" s="672"/>
      <c r="AE336" s="673"/>
      <c r="AF336" s="672"/>
      <c r="AG336" s="673"/>
      <c r="AH336" s="674"/>
      <c r="AI336" s="671"/>
      <c r="AJ336" s="606">
        <f t="shared" si="139"/>
        <v>0</v>
      </c>
      <c r="AK336" s="116" t="str">
        <f>CONCATENATE(IF(D336&gt;D309," * Retest Start HAART at PNC &lt; = 6 weeks for Age "&amp;D20&amp;" "&amp;D21&amp;" is more than Retesting positive result at PNC &lt; = 6 weeks"&amp;CHAR(10),""),IF(E336&gt;E309," * Retest Start HAART at PNC &lt; = 6 weeks for Age "&amp;D20&amp;" "&amp;E21&amp;" is more than Retesting positive result at PNC &lt; = 6 weeks"&amp;CHAR(10),""),IF(F336&gt;F309," * Retest Start HAART at PNC &lt; = 6 weeks for Age "&amp;F20&amp;" "&amp;F21&amp;" is more than Retesting positive result at PNC &lt; = 6 weeks"&amp;CHAR(10),""),IF(G336&gt;G309," * Retest Start HAART at PNC &lt; = 6 weeks for Age "&amp;F20&amp;" "&amp;G21&amp;" is more than Retesting positive result at PNC &lt; = 6 weeks"&amp;CHAR(10),""),IF(H336&gt;H309," * Retest Start HAART at PNC &lt; = 6 weeks for Age "&amp;H20&amp;" "&amp;H21&amp;" is more than Retesting positive result at PNC &lt; = 6 weeks"&amp;CHAR(10),""),IF(I336&gt;I309," * Retest Start HAART at PNC &lt; = 6 weeks for Age "&amp;H20&amp;" "&amp;I21&amp;" is more than Retesting positive result at PNC &lt; = 6 weeks"&amp;CHAR(10),""),IF(J336&gt;J309," * Retest Start HAART at PNC &lt; = 6 weeks for Age "&amp;J20&amp;" "&amp;J21&amp;" is more than Retesting positive result at PNC &lt; = 6 weeks"&amp;CHAR(10),""),IF(K336&gt;K309," * Retest Start HAART at PNC &lt; = 6 weeks for Age "&amp;J20&amp;" "&amp;K21&amp;" is more than Retesting positive result at PNC &lt; = 6 weeks"&amp;CHAR(10),""),IF(L336&gt;L309," * Retest Start HAART at PNC &lt; = 6 weeks for Age "&amp;L20&amp;" "&amp;L21&amp;" is more than Retesting positive result at PNC &lt; = 6 weeks"&amp;CHAR(10),""),IF(M336&gt;M309," * Retest Start HAART at PNC &lt; = 6 weeks for Age "&amp;L20&amp;" "&amp;M21&amp;" is more than Retesting positive result at PNC &lt; = 6 weeks"&amp;CHAR(10),""),IF(N336&gt;N309," * Retest Start HAART at PNC &lt; = 6 weeks for Age "&amp;N20&amp;" "&amp;N21&amp;" is more than Retesting positive result at PNC &lt; = 6 weeks"&amp;CHAR(10),""),IF(O336&gt;O309," * Retest Start HAART at PNC &lt; = 6 weeks for Age "&amp;N20&amp;" "&amp;O21&amp;" is more than Retesting positive result at PNC &lt; = 6 weeks"&amp;CHAR(10),""),IF(P336&gt;P309," * Retest Start HAART at PNC &lt; = 6 weeks for Age "&amp;P20&amp;" "&amp;P21&amp;" is more than Retesting positive result at PNC &lt; = 6 weeks"&amp;CHAR(10),""),IF(Q336&gt;Q309," * Retest Start HAART at PNC &lt; = 6 weeks for Age "&amp;P20&amp;" "&amp;Q21&amp;" is more than Retesting positive result at PNC &lt; = 6 weeks"&amp;CHAR(10),""),IF(R336&gt;R309," * Retest Start HAART at PNC &lt; = 6 weeks for Age "&amp;R20&amp;" "&amp;R21&amp;" is more than Retesting positive result at PNC &lt; = 6 weeks"&amp;CHAR(10),""),IF(S336&gt;S309," * Retest Start HAART at PNC &lt; = 6 weeks for Age "&amp;R20&amp;" "&amp;S21&amp;" is more than Retesting positive result at PNC &lt; = 6 weeks"&amp;CHAR(10),""),IF(T336&gt;T309," * Retest Start HAART at PNC &lt; = 6 weeks for Age "&amp;T20&amp;" "&amp;T21&amp;" is more than Retesting positive result at PNC &lt; = 6 weeks"&amp;CHAR(10),""),IF(U336&gt;U309," * Retest Start HAART at PNC &lt; = 6 weeks for Age "&amp;T20&amp;" "&amp;U21&amp;" is more than Retesting positive result at PNC &lt; = 6 weeks"&amp;CHAR(10),""),IF(V336&gt;V309," * Retest Start HAART at PNC &lt; = 6 weeks for Age "&amp;V20&amp;" "&amp;V21&amp;" is more than Retesting positive result at PNC &lt; = 6 weeks"&amp;CHAR(10),""),IF(W336&gt;W309," * Retest Start HAART at PNC &lt; = 6 weeks for Age "&amp;V20&amp;" "&amp;W21&amp;" is more than Retesting positive result at PNC &lt; = 6 weeks"&amp;CHAR(10),""),IF(X336&gt;X309," * Retest Start HAART at PNC &lt; = 6 weeks for Age "&amp;X20&amp;" "&amp;X21&amp;" is more than Retesting positive result at PNC &lt; = 6 weeks"&amp;CHAR(10),""),IF(Y336&gt;Y309," * Retest Start HAART at PNC &lt; = 6 weeks for Age "&amp;X20&amp;" "&amp;Y21&amp;" is more than Retesting positive result at PNC &lt; = 6 weeks"&amp;CHAR(10),""),IF(Z336&gt;Z309," * Retest Start HAART at PNC &lt; = 6 weeks for Age "&amp;Z20&amp;" "&amp;Z21&amp;" is more than Retesting positive result at PNC &lt; = 6 weeks"&amp;CHAR(10),""),IF(AA336&gt;AA309," * Retest Start HAART at PNC &lt; = 6 weeks for Age "&amp;Z20&amp;" "&amp;AA21&amp;" is more than Retesting positive result at PNC &lt; = 6 weeks"&amp;CHAR(10),""))</f>
        <v/>
      </c>
      <c r="AL336" s="1384"/>
      <c r="AM336" s="31"/>
      <c r="AN336" s="1376"/>
      <c r="AO336" s="13">
        <v>238</v>
      </c>
      <c r="AP336" s="74"/>
      <c r="AQ336" s="75"/>
    </row>
    <row r="337" spans="1:43" s="61" customFormat="1" ht="26.25" x14ac:dyDescent="0.4">
      <c r="A337" s="1125"/>
      <c r="B337" s="985" t="s">
        <v>1306</v>
      </c>
      <c r="C337" s="591" t="s">
        <v>482</v>
      </c>
      <c r="D337" s="659"/>
      <c r="E337" s="659"/>
      <c r="F337" s="659"/>
      <c r="G337" s="659"/>
      <c r="H337" s="659"/>
      <c r="I337" s="659"/>
      <c r="J337" s="702"/>
      <c r="K337" s="710"/>
      <c r="L337" s="659"/>
      <c r="M337" s="660"/>
      <c r="N337" s="659"/>
      <c r="O337" s="660"/>
      <c r="P337" s="659"/>
      <c r="Q337" s="660"/>
      <c r="R337" s="659"/>
      <c r="S337" s="660"/>
      <c r="T337" s="659"/>
      <c r="U337" s="660"/>
      <c r="V337" s="659"/>
      <c r="W337" s="660"/>
      <c r="X337" s="659"/>
      <c r="Y337" s="660"/>
      <c r="Z337" s="659"/>
      <c r="AA337" s="711">
        <f t="shared" si="138"/>
        <v>0</v>
      </c>
      <c r="AB337" s="621"/>
      <c r="AC337" s="665"/>
      <c r="AD337" s="619"/>
      <c r="AE337" s="665"/>
      <c r="AF337" s="619"/>
      <c r="AG337" s="665"/>
      <c r="AH337" s="620"/>
      <c r="AI337" s="671"/>
      <c r="AJ337" s="606">
        <f t="shared" si="139"/>
        <v>0</v>
      </c>
      <c r="AK337" s="116" t="str">
        <f>CONCATENATE(IF(D337&gt;D311," * Initial Start HAART at PNC  &gt; 6 weeks for Age "&amp;D20&amp;" "&amp;D21&amp;" is more than Initial Tested Positive  at PNC  &gt; 6 weeks"&amp;CHAR(10),""),IF(E337&gt;E311," * Initial Start HAART at PNC  &gt; 6 weeks for Age "&amp;D20&amp;" "&amp;E21&amp;" is more than Initial Tested Positive  at PNC  &gt; 6 weeks"&amp;CHAR(10),""),IF(F337&gt;F311," * Initial Start HAART at PNC  &gt; 6 weeks for Age "&amp;F20&amp;" "&amp;F21&amp;" is more than Initial Tested Positive  at PNC  &gt; 6 weeks"&amp;CHAR(10),""),IF(G337&gt;G311," * Initial Start HAART at PNC  &gt; 6 weeks for Age "&amp;F20&amp;" "&amp;G21&amp;" is more than Initial Tested Positive  at PNC  &gt; 6 weeks"&amp;CHAR(10),""),IF(H337&gt;H311," * Initial Start HAART at PNC  &gt; 6 weeks for Age "&amp;H20&amp;" "&amp;H21&amp;" is more than Initial Tested Positive  at PNC  &gt; 6 weeks"&amp;CHAR(10),""),IF(I337&gt;I311," * Initial Start HAART at PNC  &gt; 6 weeks for Age "&amp;H20&amp;" "&amp;I21&amp;" is more than Initial Tested Positive  at PNC  &gt; 6 weeks"&amp;CHAR(10),""),IF(J337&gt;J311," * Initial Start HAART at PNC  &gt; 6 weeks for Age "&amp;J20&amp;" "&amp;J21&amp;" is more than Initial Tested Positive  at PNC  &gt; 6 weeks"&amp;CHAR(10),""),IF(K337&gt;K311," * Initial Start HAART at PNC  &gt; 6 weeks for Age "&amp;J20&amp;" "&amp;K21&amp;" is more than Initial Tested Positive  at PNC  &gt; 6 weeks"&amp;CHAR(10),""),IF(L337&gt;L311," * Initial Start HAART at PNC  &gt; 6 weeks for Age "&amp;L20&amp;" "&amp;L21&amp;" is more than Initial Tested Positive  at PNC  &gt; 6 weeks"&amp;CHAR(10),""),IF(M337&gt;M311," * Initial Start HAART at PNC  &gt; 6 weeks for Age "&amp;L20&amp;" "&amp;M21&amp;" is more than Initial Tested Positive  at PNC  &gt; 6 weeks"&amp;CHAR(10),""),IF(N337&gt;N311," * Initial Start HAART at PNC  &gt; 6 weeks for Age "&amp;N20&amp;" "&amp;N21&amp;" is more than Initial Tested Positive  at PNC  &gt; 6 weeks"&amp;CHAR(10),""),IF(O337&gt;O311," * Initial Start HAART at PNC  &gt; 6 weeks for Age "&amp;N20&amp;" "&amp;O21&amp;" is more than Initial Tested Positive  at PNC  &gt; 6 weeks"&amp;CHAR(10),""),IF(P337&gt;P311," * Initial Start HAART at PNC  &gt; 6 weeks for Age "&amp;P20&amp;" "&amp;P21&amp;" is more than Initial Tested Positive  at PNC  &gt; 6 weeks"&amp;CHAR(10),""),IF(Q337&gt;Q311," * Initial Start HAART at PNC  &gt; 6 weeks for Age "&amp;P20&amp;" "&amp;Q21&amp;" is more than Initial Tested Positive  at PNC  &gt; 6 weeks"&amp;CHAR(10),""),IF(R337&gt;R311," * Initial Start HAART at PNC  &gt; 6 weeks for Age "&amp;R20&amp;" "&amp;R21&amp;" is more than Initial Tested Positive  at PNC  &gt; 6 weeks"&amp;CHAR(10),""),IF(S337&gt;S311," * Initial Start HAART at PNC  &gt; 6 weeks for Age "&amp;R20&amp;" "&amp;S21&amp;" is more than Initial Tested Positive  at PNC  &gt; 6 weeks"&amp;CHAR(10),""),IF(T337&gt;T311," * Initial Start HAART at PNC  &gt; 6 weeks for Age "&amp;T20&amp;" "&amp;T21&amp;" is more than Initial Tested Positive  at PNC  &gt; 6 weeks"&amp;CHAR(10),""),IF(U337&gt;U311," * Initial Start HAART at PNC  &gt; 6 weeks for Age "&amp;T20&amp;" "&amp;U21&amp;" is more than Initial Tested Positive  at PNC  &gt; 6 weeks"&amp;CHAR(10),""),IF(V337&gt;V311," * Initial Start HAART at PNC  &gt; 6 weeks for Age "&amp;V20&amp;" "&amp;V21&amp;" is more than Initial Tested Positive  at PNC  &gt; 6 weeks"&amp;CHAR(10),""),IF(W337&gt;W311," * Initial Start HAART at PNC  &gt; 6 weeks for Age "&amp;V20&amp;" "&amp;W21&amp;" is more than Initial Tested Positive  at PNC  &gt; 6 weeks"&amp;CHAR(10),""),IF(X337&gt;X311," * Initial Start HAART at PNC  &gt; 6 weeks for Age "&amp;X20&amp;" "&amp;X21&amp;" is more than Initial Tested Positive  at PNC  &gt; 6 weeks"&amp;CHAR(10),""),IF(Y337&gt;Y311," * Initial Start HAART at PNC  &gt; 6 weeks for Age "&amp;X20&amp;" "&amp;Y21&amp;" is more than Initial Tested Positive  at PNC  &gt; 6 weeks"&amp;CHAR(10),""),IF(Z337&gt;Z311," * Initial Start HAART at PNC  &gt; 6 weeks for Age "&amp;Z20&amp;" "&amp;Z21&amp;" is more than Initial Tested Positive  at PNC  &gt; 6 weeks"&amp;CHAR(10),""),IF(AA337&gt;AA311," * Initial Start HAART at PNC  &gt; 6 weeks for Age "&amp;Z20&amp;" "&amp;AA21&amp;" is more than Initial Tested Positive  at PNC  &gt; 6 weeks"&amp;CHAR(10),""))</f>
        <v/>
      </c>
      <c r="AL337" s="1384"/>
      <c r="AM337" s="60"/>
      <c r="AN337" s="1376"/>
      <c r="AO337" s="13">
        <v>239</v>
      </c>
      <c r="AP337" s="80"/>
      <c r="AQ337" s="75"/>
    </row>
    <row r="338" spans="1:43" s="61" customFormat="1" ht="27" thickBot="1" x14ac:dyDescent="0.45">
      <c r="A338" s="1126"/>
      <c r="B338" s="3" t="s">
        <v>1211</v>
      </c>
      <c r="C338" s="677" t="s">
        <v>1210</v>
      </c>
      <c r="D338" s="679"/>
      <c r="E338" s="679"/>
      <c r="F338" s="679"/>
      <c r="G338" s="679"/>
      <c r="H338" s="679"/>
      <c r="I338" s="679"/>
      <c r="J338" s="703"/>
      <c r="K338" s="712"/>
      <c r="L338" s="679"/>
      <c r="M338" s="680"/>
      <c r="N338" s="679"/>
      <c r="O338" s="680"/>
      <c r="P338" s="679"/>
      <c r="Q338" s="680"/>
      <c r="R338" s="679"/>
      <c r="S338" s="680"/>
      <c r="T338" s="679"/>
      <c r="U338" s="680"/>
      <c r="V338" s="679"/>
      <c r="W338" s="680"/>
      <c r="X338" s="679"/>
      <c r="Y338" s="680"/>
      <c r="Z338" s="679"/>
      <c r="AA338" s="713">
        <f t="shared" si="138"/>
        <v>0</v>
      </c>
      <c r="AB338" s="706"/>
      <c r="AC338" s="673"/>
      <c r="AD338" s="672"/>
      <c r="AE338" s="673"/>
      <c r="AF338" s="672"/>
      <c r="AG338" s="673"/>
      <c r="AH338" s="674"/>
      <c r="AI338" s="671"/>
      <c r="AJ338" s="606">
        <f t="shared" ref="AJ338" si="140">SUM(D338:AA338)</f>
        <v>0</v>
      </c>
      <c r="AK338" s="590" t="str">
        <f>CONCATENATE(IF(D338&gt;D313," * Retest Start HAART at PNC &gt; 6 weeks to 6 months for Age "&amp;D21&amp;" "&amp;D22&amp;" is more than  Retesting positive result at PNC &gt; 6 weeks to 6 months"&amp;CHAR(10),""),IF(E338&gt;E313," * Retest Start HAART at PNC &gt; 6 weeks to 6 months for Age "&amp;D21&amp;" "&amp;E22&amp;" is more than  Retesting positive result at PNC &gt; 6 weeks to 6 months"&amp;CHAR(10),""),IF(F338&gt;F313," * Retest Start HAART at PNC &gt; 6 weeks to 6 months for Age "&amp;F21&amp;" "&amp;F22&amp;" is more than  Retesting positive result at PNC &gt; 6 weeks to 6 months"&amp;CHAR(10),""),IF(G338&gt;G313," * Retest Start HAART at PNC &gt; 6 weeks to 6 months for Age "&amp;F21&amp;" "&amp;G22&amp;" is more than  Retesting positive result at PNC &gt; 6 weeks to 6 months"&amp;CHAR(10),""),IF(H338&gt;H313," * Retest Start HAART at PNC &gt; 6 weeks to 6 months for Age "&amp;H21&amp;" "&amp;H22&amp;" is more than  Retesting positive result at PNC &gt; 6 weeks to 6 months"&amp;CHAR(10),""),IF(I338&gt;I313," * Retest Start HAART at PNC &gt; 6 weeks to 6 months for Age "&amp;H21&amp;" "&amp;I22&amp;" is more than  Retesting positive result at PNC &gt; 6 weeks to 6 months"&amp;CHAR(10),""),IF(J338&gt;J313," * Retest Start HAART at PNC &gt; 6 weeks to 6 months for Age "&amp;J21&amp;" "&amp;J22&amp;" is more than  Retesting positive result at PNC &gt; 6 weeks to 6 months"&amp;CHAR(10),""),IF(K338&gt;K313," * Retest Start HAART at PNC &gt; 6 weeks to 6 months for Age "&amp;J21&amp;" "&amp;K22&amp;" is more than  Retesting positive result at PNC &gt; 6 weeks to 6 months"&amp;CHAR(10),""),IF(L338&gt;L313," * Retest Start HAART at PNC &gt; 6 weeks to 6 months for Age "&amp;L21&amp;" "&amp;L22&amp;" is more than  Retesting positive result at PNC &gt; 6 weeks to 6 months"&amp;CHAR(10),""),IF(M338&gt;M313," * Retest Start HAART at PNC &gt; 6 weeks to 6 months for Age "&amp;L21&amp;" "&amp;M22&amp;" is more than  Retesting positive result at PNC &gt; 6 weeks to 6 months"&amp;CHAR(10),""),IF(N338&gt;N313," * Retest Start HAART at PNC &gt; 6 weeks to 6 months for Age "&amp;N21&amp;" "&amp;N22&amp;" is more than  Retesting positive result at PNC &gt; 6 weeks to 6 months"&amp;CHAR(10),""),IF(O338&gt;O313," * Retest Start HAART at PNC &gt; 6 weeks to 6 months for Age "&amp;N21&amp;" "&amp;O22&amp;" is more than  Retesting positive result at PNC &gt; 6 weeks to 6 months"&amp;CHAR(10),""),IF(P338&gt;P313," * Retest Start HAART at PNC &gt; 6 weeks to 6 months for Age "&amp;P21&amp;" "&amp;P22&amp;" is more than  Retesting positive result at PNC &gt; 6 weeks to 6 months"&amp;CHAR(10),""),IF(Q338&gt;Q313," * Retest Start HAART at PNC &gt; 6 weeks to 6 months for Age "&amp;P21&amp;" "&amp;Q22&amp;" is more than  Retesting positive result at PNC &gt; 6 weeks to 6 months"&amp;CHAR(10),""),IF(R338&gt;R313," * Retest Start HAART at PNC &gt; 6 weeks to 6 months for Age "&amp;R21&amp;" "&amp;R22&amp;" is more than  Retesting positive result at PNC &gt; 6 weeks to 6 months"&amp;CHAR(10),""),IF(S338&gt;S313," * Retest Start HAART at PNC &gt; 6 weeks to 6 months for Age "&amp;R21&amp;" "&amp;S22&amp;" is more than  Retesting positive result at PNC &gt; 6 weeks to 6 months"&amp;CHAR(10),""),IF(T338&gt;T313," * Retest Start HAART at PNC &gt; 6 weeks to 6 months for Age "&amp;T21&amp;" "&amp;T22&amp;" is more than  Retesting positive result at PNC &gt; 6 weeks to 6 months"&amp;CHAR(10),""),IF(U338&gt;U313," * Retest Start HAART at PNC &gt; 6 weeks to 6 months for Age "&amp;T21&amp;" "&amp;U22&amp;" is more than  Retesting positive result at PNC &gt; 6 weeks to 6 months"&amp;CHAR(10),""),IF(V338&gt;V313," * Retest Start HAART at PNC &gt; 6 weeks to 6 months for Age "&amp;V21&amp;" "&amp;V22&amp;" is more than  Retesting positive result at PNC &gt; 6 weeks to 6 months"&amp;CHAR(10),""),IF(W338&gt;W313," * Retest Start HAART at PNC &gt; 6 weeks to 6 months for Age "&amp;V21&amp;" "&amp;W22&amp;" is more than  Retesting positive result at PNC &gt; 6 weeks to 6 months"&amp;CHAR(10),""),IF(X338&gt;X313," * Retest Start HAART at PNC &gt; 6 weeks to 6 months for Age "&amp;X21&amp;" "&amp;X22&amp;" is more than  Retesting positive result at PNC &gt; 6 weeks to 6 months"&amp;CHAR(10),""),IF(Y338&gt;Y313," * Retest Start HAART at PNC &gt; 6 weeks to 6 months for Age "&amp;X21&amp;" "&amp;Y22&amp;" is more than  Retesting positive result at PNC &gt; 6 weeks to 6 months"&amp;CHAR(10),""),IF(Z338&gt;Z313," * Retest Start HAART at PNC &gt; 6 weeks to 6 months for Age "&amp;Z21&amp;" "&amp;Z22&amp;" is more than  Retesting positive result at PNC &gt; 6 weeks to 6 months"&amp;CHAR(10),""),IF(AA338&gt;AA313," * Retest Start HAART at PNC &gt; 6 weeks to 6 months for Age "&amp;Z21&amp;" "&amp;AA22&amp;" is more than  Retesting positive result at PNC &gt; 6 weeks to 6 months"&amp;CHAR(10),""))</f>
        <v/>
      </c>
      <c r="AL338" s="1384"/>
      <c r="AM338" s="60"/>
      <c r="AN338" s="1376"/>
      <c r="AO338" s="13">
        <v>239</v>
      </c>
      <c r="AP338" s="80"/>
      <c r="AQ338" s="75"/>
    </row>
    <row r="339" spans="1:43" ht="27" thickBot="1" x14ac:dyDescent="0.45">
      <c r="A339" s="952" t="s">
        <v>267</v>
      </c>
      <c r="B339" s="634" t="s">
        <v>267</v>
      </c>
      <c r="C339" s="652" t="s">
        <v>350</v>
      </c>
      <c r="D339" s="681"/>
      <c r="E339" s="682"/>
      <c r="F339" s="682"/>
      <c r="G339" s="682"/>
      <c r="H339" s="682"/>
      <c r="I339" s="682"/>
      <c r="J339" s="704"/>
      <c r="K339" s="714"/>
      <c r="L339" s="682"/>
      <c r="M339" s="683"/>
      <c r="N339" s="682"/>
      <c r="O339" s="683"/>
      <c r="P339" s="682"/>
      <c r="Q339" s="683"/>
      <c r="R339" s="682"/>
      <c r="S339" s="683"/>
      <c r="T339" s="682"/>
      <c r="U339" s="683"/>
      <c r="V339" s="682"/>
      <c r="W339" s="683"/>
      <c r="X339" s="682"/>
      <c r="Y339" s="683"/>
      <c r="Z339" s="682"/>
      <c r="AA339" s="684"/>
      <c r="AB339" s="690"/>
      <c r="AC339" s="691"/>
      <c r="AD339" s="691"/>
      <c r="AE339" s="691"/>
      <c r="AF339" s="691"/>
      <c r="AG339" s="691"/>
      <c r="AH339" s="692"/>
      <c r="AI339" s="671"/>
      <c r="AJ339" s="606">
        <f t="shared" si="139"/>
        <v>0</v>
      </c>
      <c r="AK339" s="116"/>
      <c r="AL339" s="1384"/>
      <c r="AM339" s="31"/>
      <c r="AN339" s="1376"/>
      <c r="AO339" s="13">
        <v>240</v>
      </c>
      <c r="AP339" s="74"/>
      <c r="AQ339" s="75"/>
    </row>
    <row r="340" spans="1:43" s="61" customFormat="1" ht="26.25" x14ac:dyDescent="0.4">
      <c r="A340" s="1360" t="s">
        <v>952</v>
      </c>
      <c r="B340" s="69" t="s">
        <v>666</v>
      </c>
      <c r="C340" s="651" t="s">
        <v>351</v>
      </c>
      <c r="D340" s="693"/>
      <c r="E340" s="664"/>
      <c r="F340" s="664"/>
      <c r="G340" s="664"/>
      <c r="H340" s="664"/>
      <c r="I340" s="664"/>
      <c r="J340" s="699"/>
      <c r="K340" s="688"/>
      <c r="L340" s="664"/>
      <c r="M340" s="619"/>
      <c r="N340" s="664"/>
      <c r="O340" s="619"/>
      <c r="P340" s="664"/>
      <c r="Q340" s="619"/>
      <c r="R340" s="664"/>
      <c r="S340" s="619"/>
      <c r="T340" s="664"/>
      <c r="U340" s="619"/>
      <c r="V340" s="664"/>
      <c r="W340" s="619"/>
      <c r="X340" s="664"/>
      <c r="Y340" s="619"/>
      <c r="Z340" s="664"/>
      <c r="AA340" s="694"/>
      <c r="AB340" s="707"/>
      <c r="AC340" s="664"/>
      <c r="AD340" s="664"/>
      <c r="AE340" s="664"/>
      <c r="AF340" s="664"/>
      <c r="AG340" s="664"/>
      <c r="AH340" s="694"/>
      <c r="AI340" s="671"/>
      <c r="AJ340" s="606">
        <f t="shared" si="139"/>
        <v>0</v>
      </c>
      <c r="AK340" s="116" t="str">
        <f>CONCATENATE(IF(D340&gt;SUM(D295,D299,D293,D301)," * Infant Prophylaxis ANC for Age "&amp;D20&amp;" "&amp;D21&amp;" is more than Positive at ANC (F06-02+F06-04+F06-06+F06-062)"&amp;CHAR(10),""),IF(E340&gt;SUM(E295,E299,E293,E301)," * Infant Prophylaxis ANC  for Age "&amp;D20&amp;" "&amp;E21&amp;" is more than Positive at ANC (F06-02+F06-04+F06-06+F06-062)"&amp;CHAR(10),""),IF(F340&gt;SUM(F295,F299,F293,F301)," * Infant Prophylaxis ANC  for Age "&amp;F20&amp;" "&amp;F21&amp;" is more than Positive at ANC (F06-02+F06-04+F06-06+F06-062)"&amp;CHAR(10),""),IF(G340&gt;SUM(G295,G299,G293,F301)," * Infant Prophylaxis ANC  for Age "&amp;F20&amp;" "&amp;G21&amp;" is more than Positive at ANC (F06-02+F06-04+F06-06+F06-062)"&amp;CHAR(10),""),IF(H340&gt;SUM(H295,H299,H293)," * Infant Prophylaxis ANC  for Age "&amp;H20&amp;" "&amp;H21&amp;" is more than Positive at ANC (F06-02+F06-04+F06-06+F06-062)"&amp;CHAR(10),""),IF(I340&gt;SUM(I295,I299,I293)," * Infant Prophylaxis ANC  for Age "&amp;H20&amp;" "&amp;I21&amp;" is more than Positive at ANC (F06-02+F06-04+F06-06+F06-062)"&amp;CHAR(10),""),IF(J340&gt;SUM(J295,J299,J293)," * Infant Prophylaxis ANC  for Age "&amp;J20&amp;" "&amp;J21&amp;" is more than Positive at ANC (F06-02+F06-04+F06-06+F06-062)"&amp;CHAR(10),""),IF(K340&gt;SUM(K295,K299,K293,K301)," * Infant Prophylaxis ANC  for Age "&amp;J20&amp;" "&amp;K21&amp;" is more than Positive at ANC (F06-02+F06-04+F06-06+F06-062)"&amp;CHAR(10),""),IF(L340&gt;SUM(L295,L299,L293,L301)," * Infant Prophylaxis ANC  for Age "&amp;L20&amp;" "&amp;L21&amp;" is more than Positive at ANC (F06-02+F06-04+F06-06+F06-062)"&amp;CHAR(10),""),IF(M340&gt;SUM(M295,M299,M293,M301)," * Infant Prophylaxis ANC  for Age "&amp;L20&amp;" "&amp;M21&amp;" is more than Positive at ANC (F06-02+F06-04+F06-06+F06-062)"&amp;CHAR(10),""),IF(N340&gt;SUM(N295,N299,N293,N301)," * Infant Prophylaxis ANC  for Age "&amp;N20&amp;" "&amp;N21&amp;" is more than Positive at ANC (F06-02+F06-04+F06-06+F06-062)"&amp;CHAR(10),""),IF(O340&gt;SUM(O295,O299,O293,O301)," * Infant Prophylaxis ANC  for Age "&amp;N20&amp;" "&amp;O21&amp;" is more than Positive at ANC (F06-02+F06-04+F06-06+F06-062)"&amp;CHAR(10),""),IF(P340&gt;SUM(P295,P299,P293,P301)," * Infant Prophylaxis ANC  for Age "&amp;P20&amp;" "&amp;P21&amp;" is more than Positive at ANC (F06-02+F06-04+F06-06+F06-062)"&amp;CHAR(10),""),IF(Q340&gt;SUM(Q295,Q299,Q293,Q301)," * Infant Prophylaxis ANC  for Age "&amp;P20&amp;" "&amp;Q21&amp;" is more than Positive at ANC (F06-02+F06-04+F06-06+F06-062)"&amp;CHAR(10),""),IF(R340&gt;SUM(R295,R299,R293,R301)," * Infant Prophylaxis ANC  for Age "&amp;R20&amp;" "&amp;R21&amp;" is more than Positive at ANC (F06-02+F06-04+F06-06+F06-062)"&amp;CHAR(10),""),IF(S340&gt;SUM(S295,S299,S293,S301)," * Infant Prophylaxis ANC  for Age "&amp;R20&amp;" "&amp;S21&amp;" is more than Positive at ANC (F06-02+F06-04+F06-06+F06-062)"&amp;CHAR(10),""),IF(T340&gt;SUM(T295,T299,T293,T301)," * Infant Prophylaxis ANC  for Age "&amp;T20&amp;" "&amp;T21&amp;" is more than Positive at ANC (F06-02+F06-04+F06-06+F06-062)"&amp;CHAR(10),""),IF(U340&gt;SUM(U295,U299,U293,U301)," * Infant Prophylaxis ANC  for Age "&amp;T20&amp;" "&amp;U21&amp;" is more than Positive at ANC (F06-02+F06-04+F06-06+F06-062)"&amp;CHAR(10),""),IF(V340&gt;SUM(V295,V299,V293,V301)," * Infant Prophylaxis ANC  for Age "&amp;V20&amp;" "&amp;V21&amp;" is more than Positive at ANC (F06-02+F06-04+F06-06+F06-062)"&amp;CHAR(10),""),IF(W340&gt;SUM(W295,W299,W293,W301)," * Infant Prophylaxis ANC  for Age "&amp;V20&amp;" "&amp;W21&amp;" is more than Positive at ANC (F06-02+F06-04+F06-06+F06-062)"&amp;CHAR(10),""),IF(X340&gt;SUM(X295,X299,X293,X301)," * Infant Prophylaxis ANC  for Age "&amp;X20&amp;" "&amp;X21&amp;" is more than Positive at ANC (F06-02+F06-04+F06-06+F06-062)"&amp;CHAR(10),""),IF(Y340&gt;SUM(Y295,Y299,Y293,Y301)," * Infant Prophylaxis ANC  for Age "&amp;X20&amp;" "&amp;Y21&amp;" is more than Positive at ANC (F06-02+F06-04+F06-06+F06-062)"&amp;CHAR(10),""),IF(Z340&gt;SUM(Z295,Z299,Z293,Z301)," * Infant Prophylaxis ANC  for Age "&amp;Z20&amp;" "&amp;Z21&amp;" is more than Positive at ANC (F06-02+F06-04+F06-06+F06-062)"&amp;CHAR(10),""),IF(AA340&gt;SUM(AA295,AA299,AA293,AA301)," * Infant Prophylaxis ANC  for Age "&amp;Z20&amp;" "&amp;AA21&amp;" is more than Positive at ANC (F06-02+F06-04+F06-06+F06-062)"&amp;CHAR(10),""))</f>
        <v/>
      </c>
      <c r="AL340" s="1384"/>
      <c r="AM340" s="60" t="str">
        <f>CONCATENATE(IF(D340&lt;SUM(D295,D293,D299,D301)," * Sum of (KP at 1st ANC +New positive at ANC1 + New positive at ANC2 or More+Retesting positive Result at ANC2 or More) for Age "&amp;D20&amp;" "&amp;D21&amp;" is greater than Infant Prophylaxis ANC"&amp;CHAR(10),""),IF(E340&lt;SUM(E295,E293,E299,E301)," * Sum of (KP at 1st ANC +New positive at ANC1 + New positive at ANC2 or More+Retesting positive Result at ANC2 or More) for Age "&amp;D20&amp;" "&amp;E21&amp;" is greater than Infant Prophylaxis ANC"&amp;CHAR(10),""),IF(F340&lt;SUM(F295,F293,F299,F301)," * Sum of (KP at 1st ANC +New positive at ANC1 + New positive at ANC2 or More+Retesting positive Result at ANC2 or More) for Age "&amp;F20&amp;" "&amp;F21&amp;" is greater than Infant Prophylaxis ANC"&amp;CHAR(10),""),IF(G340&lt;SUM(G295,G293,G299,G301)," * Sum of (KP at 1st ANC +New positive at ANC1 + New positive at ANC2 or More+Retesting positive Result at ANC2 or More) for Age "&amp;F20&amp;" "&amp;G21&amp;" is greater than Infant Prophylaxis ANC"&amp;CHAR(10),""),IF(H340&lt;SUM(H295,H293,H299,H301)," * Sum of (KP at 1st ANC +New positive at ANC1 + New positive at ANC2 or More+Retesting positive Result at ANC2 or More) for Age "&amp;H20&amp;" "&amp;H21&amp;" is greater than Infant Prophylaxis ANC"&amp;CHAR(10),""),IF(I340&lt;SUM(I295,I293,I299,I301)," * Sum of (KP at 1st ANC +New positive at ANC1 + New positive at ANC2 or More+Retesting positive Result at ANC2 or More) for Age "&amp;H20&amp;" "&amp;I21&amp;" is greater than Infant Prophylaxis ANC"&amp;CHAR(10),""),IF(J340&lt;SUM(J295,J293,J299,J301)," * Sum of (KP at 1st ANC +New positive at ANC1 + New positive at ANC2 or More+Retesting positive Result at ANC2 or More) for Age "&amp;J20&amp;" "&amp;J21&amp;" is greater than Infant Prophylaxis ANC"&amp;CHAR(10),""),IF(K340&lt;SUM(K295,K293,K299,K301)," * Sum of (KP at 1st ANC +New positive at ANC1 + New positive at ANC2 or More+Retesting positive Result at ANC2 or More) for Age "&amp;J20&amp;" "&amp;K21&amp;" is greater than Infant Prophylaxis ANC"&amp;CHAR(10),""),IF(L340&lt;SUM(L295,L293,L299,L301)," * Sum of (KP at 1st ANC +New positive at ANC1 + New positive at ANC2 or More+Retesting positive Result at ANC2 or More) for Age "&amp;L20&amp;" "&amp;L21&amp;" is greater than Infant Prophylaxis ANC"&amp;CHAR(10),""),IF(M340&lt;SUM(M295,M293,M299,M301)," * Sum of (KP at 1st ANC +New positive at ANC1 + New positive at ANC2 or More+Retesting positive Result at ANC2 or More) for Age "&amp;L20&amp;" "&amp;M21&amp;" is greater than Infant Prophylaxis ANC"&amp;CHAR(10),""),IF(N340&lt;SUM(N295,N293,N299,N301)," * Sum of (KP at 1st ANC +New positive at ANC1 + New positive at ANC2 or More+Retesting positive Result at ANC2 or More) for Age "&amp;N20&amp;" "&amp;N21&amp;" is greater than Infant Prophylaxis ANC"&amp;CHAR(10),""),IF(O340&lt;SUM(O295,O293,O299,O301)," * Sum of (KP at 1st ANC +New positive at ANC1 + New positive at ANC2 or More+Retesting positive Result at ANC2 or More) for Age "&amp;N20&amp;" "&amp;O21&amp;" is greater than Infant Prophylaxis ANC"&amp;CHAR(10),""),IF(P340&lt;SUM(P295,P293,P299,P301)," * Sum of (KP at 1st ANC +New positive at ANC1 + New positive at ANC2 or More+Retesting positive Result at ANC2 or More) for Age "&amp;P20&amp;" "&amp;P21&amp;" is greater than Infant Prophylaxis ANC"&amp;CHAR(10),""),IF(Q340&lt;SUM(Q295,Q293,Q299,Q301)," * Sum of (KP at 1st ANC +New positive at ANC1 + New positive at ANC2 or More+Retesting positive Result at ANC2 or More) for Age "&amp;P20&amp;" "&amp;Q21&amp;" is greater than Infant Prophylaxis ANC"&amp;CHAR(10),""),IF(R340&lt;SUM(R295,R293,R299,R301)," * Sum of (KP at 1st ANC +New positive at ANC1 + New positive at ANC2 or More+Retesting positive Result at ANC2 or More) for Age "&amp;R20&amp;" "&amp;R21&amp;" is greater than Infant Prophylaxis ANC"&amp;CHAR(10),""),IF(S340&lt;SUM(S295,S293,S299,S301)," * Sum of (KP at 1st ANC +New positive at ANC1 + New positive at ANC2 or More+Retesting positive Result at ANC2 or More) for Age "&amp;R20&amp;" "&amp;S21&amp;" is greater than Infant Prophylaxis ANC"&amp;CHAR(10),""),IF(T340&lt;SUM(T295,T293,T299&lt;T301)," * Sum of (KP at 1st ANC +New positive at ANC1 + New positive at ANC2 or More+Retesting positive Result at ANC2 or More) for Age "&amp;T20&amp;" "&amp;T21&amp;" is greater than Infant Prophylaxis ANC"&amp;CHAR(10),""),IF(U340&lt;SUM(U295,U293,U299,U301)," * Sum of (KP at 1st ANC +New positive at ANC1 + New positive at ANC2 or More+Retesting positive Result at ANC2 or More) for Age "&amp;T20&amp;" "&amp;U21&amp;" is greater than Infant Prophylaxis ANC"&amp;CHAR(10),""),IF(V340&lt;SUM(V295,V293,V299,V301)," * Sum of (KP at 1st ANC +New positive at ANC1 + New positive at ANC2 or More+Retesting positive Result at ANC2 or More) for Age "&amp;V20&amp;" "&amp;V21&amp;" is greater than Infant Prophylaxis ANC"&amp;CHAR(10),""),IF(W340&lt;SUM(W295,W293,W299,W301)," * Sum of (KP at 1st ANC +New positive at ANC1 + New positive at ANC2 or More+Retesting positive Result at ANC2 or More) for Age "&amp;V20&amp;" "&amp;W21&amp;" is greater than Infant Prophylaxis ANC"&amp;CHAR(10),""),IF(X340&lt;SUM(X295,X293,X299,X301)," * Sum of (KP at 1st ANC +New positive at ANC1 + New positive at ANC2 or More+Retesting positive Result at ANC2 or More) for Age "&amp;X20&amp;" "&amp;X21&amp;" is greater than Infant Prophylaxis ANC"&amp;CHAR(10),""),IF(Y340&lt;SUM(Y295,Y293,Y299,Y301)," * Sum of (KP at 1st ANC +New positive at ANC1 + New positive at ANC2 or More+Retesting positive Result at ANC2 or More) for Age "&amp;X20&amp;" "&amp;Y21&amp;" is greater than Infant Prophylaxis ANC"&amp;CHAR(10),""),IF(Z340&lt;SUM(Z295,Z293,Z299,Z301)," * Sum of (KP at 1st ANC +New positive at ANC1 + New positive at ANC2 or More+Retesting positive Result at ANC2 or More) for Age "&amp;Z20&amp;" "&amp;Z21&amp;" is greater than Infant Prophylaxis ANC"&amp;CHAR(10),""),IF(AA340&lt;SUM(AA295,AA293,AA299,AA301)," * Sum of (KP at 1st ANC +New positive at ANC1 + New positive at ANC2 or More+Retesting positive Result at ANC2 or More) for Age "&amp;Z20&amp;" "&amp;AA21&amp;" is greater than Infant Prophylaxis ANC"&amp;CHAR(10),""))</f>
        <v/>
      </c>
      <c r="AN340" s="1376"/>
      <c r="AO340" s="13">
        <v>241</v>
      </c>
      <c r="AP340" s="80"/>
      <c r="AQ340" s="75"/>
    </row>
    <row r="341" spans="1:43" ht="26.25" x14ac:dyDescent="0.4">
      <c r="A341" s="1361"/>
      <c r="B341" s="76" t="s">
        <v>667</v>
      </c>
      <c r="C341" s="571" t="s">
        <v>352</v>
      </c>
      <c r="D341" s="695"/>
      <c r="E341" s="655"/>
      <c r="F341" s="655"/>
      <c r="G341" s="655"/>
      <c r="H341" s="655"/>
      <c r="I341" s="655"/>
      <c r="J341" s="700"/>
      <c r="K341" s="698"/>
      <c r="L341" s="655"/>
      <c r="M341" s="656"/>
      <c r="N341" s="655"/>
      <c r="O341" s="656"/>
      <c r="P341" s="655"/>
      <c r="Q341" s="656"/>
      <c r="R341" s="655"/>
      <c r="S341" s="656"/>
      <c r="T341" s="655"/>
      <c r="U341" s="656"/>
      <c r="V341" s="655"/>
      <c r="W341" s="656"/>
      <c r="X341" s="655"/>
      <c r="Y341" s="656"/>
      <c r="Z341" s="655"/>
      <c r="AA341" s="696"/>
      <c r="AB341" s="671"/>
      <c r="AC341" s="655"/>
      <c r="AD341" s="655"/>
      <c r="AE341" s="655"/>
      <c r="AF341" s="655"/>
      <c r="AG341" s="655"/>
      <c r="AH341" s="696"/>
      <c r="AI341" s="671"/>
      <c r="AJ341" s="606">
        <f t="shared" si="139"/>
        <v>0</v>
      </c>
      <c r="AK341" s="116" t="str">
        <f>CONCATENATE(IF(D341&gt;(D303+D305)," * Infant Prophylaxis LD for Age "&amp;D20&amp;" "&amp;D21&amp;" is more than Initial LD Positive + Retest LD positive"&amp;CHAR(10),""),IF(E341&gt;(E303+E305)," * Infant Prophylaxis LD for Age "&amp;D20&amp;" "&amp;E21&amp;" is more than Initial LD Positive + Retest LD positive"&amp;CHAR(10),""),IF(F341&gt;(F303+F305)," * Infant Prophylaxis LD for Age "&amp;F20&amp;" "&amp;F21&amp;" is more than Initial LD Positive + Retest LD positive"&amp;CHAR(10),""),IF(G341&gt;(G303+G305)," * Infant Prophylaxis LD for Age "&amp;F20&amp;" "&amp;G21&amp;" is more than Initial LD Positive + Retest LD positive"&amp;CHAR(10),""),IF(H341&gt;(H303+H305)," * Infant Prophylaxis LD for Age "&amp;H20&amp;" "&amp;H21&amp;" is more than Initial LD Positive + Retest LD positive"&amp;CHAR(10),""),IF(I341&gt;(I303+I305)," * Infant Prophylaxis LD for Age "&amp;H20&amp;" "&amp;I21&amp;" is more than Initial LD Positive + Retest LD positive"&amp;CHAR(10),""),IF(J341&gt;(J303+J305)," * Infant Prophylaxis LD for Age "&amp;J20&amp;" "&amp;J21&amp;" is more than Initial LD Positive + Retest LD positive"&amp;CHAR(10),""),IF(K341&gt;(K303+K305)," * Infant Prophylaxis LD for Age "&amp;J20&amp;" "&amp;K21&amp;" is more than Initial LD Positive + Retest LD positive"&amp;CHAR(10),""),IF(L341&gt;(L303+L305)," * Infant Prophylaxis LD for Age "&amp;L20&amp;" "&amp;L21&amp;" is more than Initial LD Positive + Retest LD positive"&amp;CHAR(10),""),IF(M341&gt;(M303+M305)," * Infant Prophylaxis LD for Age "&amp;L20&amp;" "&amp;M21&amp;" is more than Initial LD Positive + Retest LD positive"&amp;CHAR(10),""),IF(N341&gt;(N303+N305)," * Infant Prophylaxis LD for Age "&amp;N20&amp;" "&amp;N21&amp;" is more than Initial LD Positive + Retest LD positive"&amp;CHAR(10),""),IF(O341&gt;(O303+O305)," * Infant Prophylaxis LD for Age "&amp;N20&amp;" "&amp;O21&amp;" is more than Initial LD Positive + Retest LD positive"&amp;CHAR(10),""),IF(P341&gt;(P303+P305)," * Infant Prophylaxis LD for Age "&amp;P20&amp;" "&amp;P21&amp;" is more than Initial LD Positive + Retest LD positive"&amp;CHAR(10),""),IF(Q341&gt;(Q303+Q305)," * Infant Prophylaxis LD for Age "&amp;P20&amp;" "&amp;Q21&amp;" is more than Initial LD Positive + Retest LD positive"&amp;CHAR(10),""),IF(R341&gt;(R303+R305)," * Infant Prophylaxis LD for Age "&amp;R20&amp;" "&amp;R21&amp;" is more than Initial LD Positive + Retest LD positive"&amp;CHAR(10),""),IF(S341&gt;(S303+S305)," * Infant Prophylaxis LD for Age "&amp;R20&amp;" "&amp;S21&amp;" is more than Initial LD Positive + Retest LD positive"&amp;CHAR(10),""),IF(T341&gt;(T303+T305)," * Infant Prophylaxis LD for Age "&amp;T20&amp;" "&amp;T21&amp;" is more than Initial LD Positive + Retest LD positive"&amp;CHAR(10),""),IF(U341&gt;(U303+U305)," * Infant Prophylaxis LD for Age "&amp;T20&amp;" "&amp;U21&amp;" is more than Initial LD Positive + Retest LD positive"&amp;CHAR(10),""),IF(V341&gt;(V303+V305)," * Infant Prophylaxis LD for Age "&amp;V20&amp;" "&amp;V21&amp;" is more than Initial LD Positive + Retest LD positive"&amp;CHAR(10),""),IF(W341&gt;(W303+W305)," * Infant Prophylaxis LD for Age "&amp;V20&amp;" "&amp;W21&amp;" is more than Initial LD Positive + Retest LD positive"&amp;CHAR(10),""),IF(X341&gt;X303," * Infant Prophylaxis LD for Age "&amp;X20&amp;" "&amp;X21&amp;" is more than Initial LD Positive + Retest LD positive"&amp;CHAR(10),""),IF(Y341&gt;(Y303+Y305)," * Infant Prophylaxis LD for Age "&amp;X20&amp;" "&amp;Y21&amp;" is more than Initial LD Positive + Retest LD positive"&amp;CHAR(10),""),IF(Z341&gt;(Z303+Z305)," * Infant Prophylaxis LD for Age "&amp;Z20&amp;" "&amp;Z21&amp;" is more than Initial LD Positive + Retest LD positive"&amp;CHAR(10),""),IF(AA341&gt;(AA303+AA305)," * Infant Prophylaxis LD for Age "&amp;Z20&amp;" "&amp;AA21&amp;" is more than Initial LD Positive + Retest LD positive"&amp;CHAR(10),""),IF(AJ341&gt;(AJ303+AJ305)," * Total Infant Prophylaxis LD is more than Total Initial LD Positive + Retest LD positive"&amp;CHAR(10),""))</f>
        <v/>
      </c>
      <c r="AL341" s="1384"/>
      <c r="AM341" s="31" t="str">
        <f>CONCATENATE(IF(D341&lt;(D303+D305)," * Infant Prophylaxis LD for Age "&amp;D20&amp;" "&amp;D21&amp;" is less than Initial LD Positive + Retest LD positive"&amp;CHAR(10),""),IF(E341&lt;(E303+E305)," * Infant Prophylaxis LD for Age "&amp;D20&amp;" "&amp;E21&amp;" is less than Initial LD Positive + Retest LD positive"&amp;CHAR(10),""),IF(F341&lt;(F303+F305)," * Infant Prophylaxis LD for Age "&amp;F20&amp;" "&amp;F21&amp;" is less than Initial LD Positive + Retest LD positive"&amp;CHAR(10),""),IF(G341&lt;(G303+G305)," * Infant Prophylaxis LD for Age "&amp;F20&amp;" "&amp;G21&amp;" is less than Initial LD Positive + Retest LD positive"&amp;CHAR(10),""),IF(H341&lt;(H303+H305)," * Infant Prophylaxis LD for Age "&amp;H20&amp;" "&amp;H21&amp;" is less than Initial LD Positive + Retest LD positive"&amp;CHAR(10),""),IF(I341&lt;(I303+I305)," * Infant Prophylaxis LD for Age "&amp;H20&amp;" "&amp;I21&amp;" is less than Initial LD Positive + Retest LD positive"&amp;CHAR(10),""),IF(J341&lt;(J303+J305)," * Infant Prophylaxis LD for Age "&amp;J20&amp;" "&amp;J21&amp;" is less than Initial LD Positive + Retest LD positive"&amp;CHAR(10),""),IF(K341&lt;(K303+K305)," * Infant Prophylaxis LD for Age "&amp;J20&amp;" "&amp;K21&amp;" is less than Initial LD Positive + Retest LD positive"&amp;CHAR(10),""),IF(L341&lt;(L303+L305)," * Infant Prophylaxis LD for Age "&amp;L20&amp;" "&amp;L21&amp;" is less than Initial LD Positive + Retest LD positive"&amp;CHAR(10),""),IF(M341&lt;(M303+M305)," * Infant Prophylaxis LD for Age "&amp;L20&amp;" "&amp;M21&amp;" is less than Initial LD Positive + Retest LD positive"&amp;CHAR(10),""),IF(N341&lt;(N303+N305)," * Infant Prophylaxis LD for Age "&amp;N20&amp;" "&amp;N21&amp;" is less than Initial LD Positive + Retest LD positive"&amp;CHAR(10),""),IF(O341&lt;(O303+O305)," * Infant Prophylaxis LD for Age "&amp;N20&amp;" "&amp;O21&amp;" is less than Initial LD Positive + Retest LD positive"&amp;CHAR(10),""),IF(P341&lt;(P303+P305)," * Infant Prophylaxis LD for Age "&amp;P20&amp;" "&amp;P21&amp;" is less than Initial LD Positive + Retest LD positive"&amp;CHAR(10),""),IF(Q341&lt;(Q303+Q305)," * Infant Prophylaxis LD for Age "&amp;P20&amp;" "&amp;Q21&amp;" is less than Initial LD Positive + Retest LD positive"&amp;CHAR(10),""),IF(R341&lt;(R303+R305)," * Infant Prophylaxis LD for Age "&amp;R20&amp;" "&amp;R21&amp;" is less than Initial LD Positive + Retest LD positive"&amp;CHAR(10),""),IF(S341&lt;(S303+S305)," * Infant Prophylaxis LD for Age "&amp;R20&amp;" "&amp;S21&amp;" is less than Initial LD Positive + Retest LD positive"&amp;CHAR(10),""),IF(T341&lt;(T303+T305)," * Infant Prophylaxis LD for Age "&amp;T20&amp;" "&amp;T21&amp;" is less than Initial LD Positive + Retest LD positive"&amp;CHAR(10),""),IF(U341&lt;(U303+U305)," * Infant Prophylaxis LD for Age "&amp;T20&amp;" "&amp;U21&amp;" is less than Initial LD Positive + Retest LD positive"&amp;CHAR(10),""),IF(V341&lt;(V303+V305)," * Infant Prophylaxis LD for Age "&amp;V20&amp;" "&amp;V21&amp;" is less than Initial LD Positive + Retest LD positive"&amp;CHAR(10),""),IF(W341&lt;(W303+W305)," * Infant Prophylaxis LD for Age "&amp;V20&amp;" "&amp;W21&amp;" is less than Initial LD Positive + Retest LD positive"&amp;CHAR(10),""),IF(X341&lt;X303," * Infant Prophylaxis LD for Age "&amp;X20&amp;" "&amp;X21&amp;" is less than Initial LD Positive + Retest LD positive"&amp;CHAR(10),""),IF(Y341&lt;(Y303+Y305)," * Infant Prophylaxis LD for Age "&amp;X20&amp;" "&amp;Y21&amp;" is less than Initial LD Positive + Retest LD positive"&amp;CHAR(10),""),IF(Z341&lt;(Z303+Z305)," * Infant Prophylaxis LD for Age "&amp;Z20&amp;" "&amp;Z21&amp;" is less than Initial LD Positive + Retest LD positive"&amp;CHAR(10),""),IF(AA341&lt;(AA303+AA305)," * Infant Prophylaxis LD for Age "&amp;Z20&amp;" "&amp;AA21&amp;" is less than Initial LD Positive + Retest LD positive"&amp;CHAR(10),""),IF(AJ341&lt;(AJ303+AJ305)," * Total Infant Prophylaxis LD is less than Total Initial LD Positive + Retest LD positive"&amp;CHAR(10),""))</f>
        <v/>
      </c>
      <c r="AN341" s="1376"/>
      <c r="AO341" s="13">
        <v>242</v>
      </c>
      <c r="AP341" s="74"/>
      <c r="AQ341" s="75"/>
    </row>
    <row r="342" spans="1:43" ht="27" thickBot="1" x14ac:dyDescent="0.45">
      <c r="A342" s="1378"/>
      <c r="B342" s="118" t="s">
        <v>668</v>
      </c>
      <c r="C342" s="592" t="s">
        <v>353</v>
      </c>
      <c r="D342" s="697"/>
      <c r="E342" s="667"/>
      <c r="F342" s="667"/>
      <c r="G342" s="667"/>
      <c r="H342" s="667"/>
      <c r="I342" s="667"/>
      <c r="J342" s="701"/>
      <c r="K342" s="689"/>
      <c r="L342" s="667"/>
      <c r="M342" s="672"/>
      <c r="N342" s="667"/>
      <c r="O342" s="672"/>
      <c r="P342" s="667"/>
      <c r="Q342" s="672"/>
      <c r="R342" s="667"/>
      <c r="S342" s="672"/>
      <c r="T342" s="667"/>
      <c r="U342" s="672"/>
      <c r="V342" s="667"/>
      <c r="W342" s="672"/>
      <c r="X342" s="667"/>
      <c r="Y342" s="672"/>
      <c r="Z342" s="667"/>
      <c r="AA342" s="676"/>
      <c r="AB342" s="678"/>
      <c r="AC342" s="667"/>
      <c r="AD342" s="667"/>
      <c r="AE342" s="667"/>
      <c r="AF342" s="667"/>
      <c r="AG342" s="667"/>
      <c r="AH342" s="676"/>
      <c r="AI342" s="671"/>
      <c r="AJ342" s="606">
        <f t="shared" si="139"/>
        <v>0</v>
      </c>
      <c r="AK342" s="122" t="str">
        <f>CONCATENATE(IF(D342&gt;D307+D309," * Infant Prophylaxis PNC &lt; 6 Weeks for Age "&amp;D20&amp;" "&amp;D21&amp;" is more than Positive PNC &lt;= 6 weeks"&amp;CHAR(10),""),IF(E342&gt;E307+E309," * Infant Prophylaxis PNC &lt; 6 Weeks for Age "&amp;D20&amp;" "&amp;E21&amp;" is more than Positive PNC &lt;= 6 weeks"&amp;CHAR(10),""),IF(F342&gt;F307+F309," * Infant Prophylaxis PNC &lt; 6 Weeks for Age "&amp;F20&amp;" "&amp;F21&amp;" is more than Positive PNC &lt;= 6 weeks"&amp;CHAR(10),""),IF(G342&gt;G307+G309," * Infant Prophylaxis PNC &lt; 6 Weeks for Age "&amp;F20&amp;" "&amp;G21&amp;" is more than Positive PNC &lt;= 6 weeks"&amp;CHAR(10),""),IF(H342&gt;H307+H309," * Infant Prophylaxis PNC &lt; 6 Weeks for Age "&amp;H20&amp;" "&amp;H21&amp;" is more than Positive PNC &lt;= 6 weeks"&amp;CHAR(10),""),IF(I342&gt;I307+I309," * Infant Prophylaxis PNC &lt; 6 Weeks for Age "&amp;H20&amp;" "&amp;I21&amp;" is more than Positive PNC &lt;= 6 weeks"&amp;CHAR(10),""),IF(J342&gt;J307+J309," * Infant Prophylaxis PNC &lt; 6 Weeks for Age "&amp;J20&amp;" "&amp;J21&amp;" is more than Positive PNC &lt;= 6 weeks"&amp;CHAR(10),""),IF(K342&gt;K307+K309," * Infant Prophylaxis PNC &lt; 6 Weeks for Age "&amp;J20&amp;" "&amp;K21&amp;" is more than Positive PNC &lt;= 6 weeks"&amp;CHAR(10),""),IF(L342&gt;L307+L309," * Infant Prophylaxis PNC &lt; 6 Weeks for Age "&amp;L20&amp;" "&amp;L21&amp;" is more than Positive PNC &lt;= 6 weeks"&amp;CHAR(10),""),IF(M342&gt;M307+M309," * Infant Prophylaxis PNC &lt; 6 Weeks for Age "&amp;L20&amp;" "&amp;M21&amp;" is more than Positive PNC &lt;= 6 weeks"&amp;CHAR(10),""),IF(N342&gt;N307+N309," * Infant Prophylaxis PNC &lt; 6 Weeks for Age "&amp;N20&amp;" "&amp;N21&amp;" is more than Positive PNC &lt;= 6 weeks"&amp;CHAR(10),""),IF(O342&gt;O307+O309," * Infant Prophylaxis PNC &lt; 6 Weeks for Age "&amp;N20&amp;" "&amp;O21&amp;" is more than Positive PNC &lt;= 6 weeks"&amp;CHAR(10),""),IF(P342&gt;P307+P309," * Infant Prophylaxis PNC &lt; 6 Weeks for Age "&amp;P20&amp;" "&amp;P21&amp;" is more than Positive PNC &lt;= 6 weeks"&amp;CHAR(10),""),IF(Q342&gt;Q307+Q309," * Infant Prophylaxis PNC &lt; 6 Weeks for Age "&amp;P20&amp;" "&amp;Q21&amp;" is more than Positive PNC &lt;= 6 weeks"&amp;CHAR(10),""),IF(R342&gt;R307+R309," * Infant Prophylaxis PNC &lt; 6 Weeks for Age "&amp;R20&amp;" "&amp;R21&amp;" is more than Positive PNC &lt;= 6 weeks"&amp;CHAR(10),""),IF(S342&gt;S307+S309+S309," * Infant Prophylaxis PNC &lt; 6 Weeks for Age "&amp;R20&amp;" "&amp;S21&amp;" is more than Positive PNC &lt;= 6 weeks"&amp;CHAR(10),""),IF(T342&gt;T307+T309," * Infant Prophylaxis PNC &lt; 6 Weeks for Age "&amp;T20&amp;" "&amp;T21&amp;" is more than Positive PNC &lt;= 6 weeks"&amp;CHAR(10),""),IF(U342&gt;U307+U309," * Infant Prophylaxis PNC &lt; 6 Weeks for Age "&amp;T20&amp;" "&amp;U21&amp;" is more than Positive PNC &lt;= 6 weeks"&amp;CHAR(10),""),IF(V342&gt;V307+V309," * Infant Prophylaxis PNC &lt; 6 Weeks for Age "&amp;V20&amp;" "&amp;V21&amp;" is more than Positive PNC &lt;= 6 weeks"&amp;CHAR(10),""),IF(W342&gt;W307+W309," * Infant Prophylaxis PNC &lt; 6 Weeks for Age "&amp;V20&amp;" "&amp;W21&amp;" is more than Positive PNC &lt;= 6 weeks"&amp;CHAR(10),""),IF(X342&gt;X307+X309," * Infant Prophylaxis PNC &lt; 6 Weeks for Age "&amp;X20&amp;" "&amp;X21&amp;" is more than Positive PNC &lt;= 6 weeks"&amp;CHAR(10),""),IF(Y342&gt;Y307+Y309," * Infant Prophylaxis PNC &lt; 6 Weeks for Age "&amp;X20&amp;" "&amp;Y21&amp;" is more than Positive PNC &lt;= 6 weeks"&amp;CHAR(10),""),IF(Z342&gt;Z307+Z309," * Infant Prophylaxis PNC &lt; 6 Weeks for Age "&amp;Z20&amp;" "&amp;Z21&amp;" is more than Positive PNC &lt;= 6 weeks"&amp;CHAR(10),""),IF(AA342&gt;AA307+AA309," * Infant Prophylaxis PNC &lt; 6 Weeks for Age "&amp;Z20&amp;" "&amp;AA21&amp;" is more than Positive PNC &lt;= 6 weeks"&amp;CHAR(10),""))</f>
        <v/>
      </c>
      <c r="AL342" s="1385"/>
      <c r="AM342" s="123" t="str">
        <f>CONCATENATE(IF(D342&lt;D307," * F06-20 for Age "&amp;D20&amp;" "&amp;D21&amp;" is less than F06-10"&amp;CHAR(10),""),IF(E342&lt;E307," * F06-20 for Age "&amp;D20&amp;" "&amp;E21&amp;" is less than F06-10"&amp;CHAR(10),""),IF(F342&lt;F307," * F06-20 for Age "&amp;F20&amp;" "&amp;F21&amp;" is less than F06-10"&amp;CHAR(10),""),IF(G342&lt;G307," * F06-20 for Age "&amp;F20&amp;" "&amp;G21&amp;" is less than F06-10"&amp;CHAR(10),""),IF(H342&lt;H307," * F06-20 for Age "&amp;H20&amp;" "&amp;H21&amp;" is less than F06-10"&amp;CHAR(10),""),IF(I342&lt;I307," * F06-20 for Age "&amp;H20&amp;" "&amp;I21&amp;" is less than F06-10"&amp;CHAR(10),""),IF(J342&lt;J307," * F06-20 for Age "&amp;J20&amp;" "&amp;J21&amp;" is less than F06-10"&amp;CHAR(10),""),IF(K342&lt;K307," * F06-20 for Age "&amp;J20&amp;" "&amp;K21&amp;" is less than F06-10"&amp;CHAR(10),""),IF(L342&lt;L307," * F06-20 for Age "&amp;L20&amp;" "&amp;L21&amp;" is less than F06-10"&amp;CHAR(10),""),IF(M342&lt;M307," * F06-20 for Age "&amp;L20&amp;" "&amp;M21&amp;" is less than F06-10"&amp;CHAR(10),""),IF(N342&lt;N307," * F06-20 for Age "&amp;N20&amp;" "&amp;N21&amp;" is less than F06-10"&amp;CHAR(10),""),IF(O342&lt;O307," * F06-20 for Age "&amp;N20&amp;" "&amp;O21&amp;" is less than F06-10"&amp;CHAR(10),""),IF(P342&lt;P307," * F06-20 for Age "&amp;P20&amp;" "&amp;P21&amp;" is less than F06-10"&amp;CHAR(10),""),IF(Q342&lt;Q307," * F06-20 for Age "&amp;P20&amp;" "&amp;Q21&amp;" is less than F06-10"&amp;CHAR(10),""),IF(R342&lt;R307," * F06-20 for Age "&amp;R20&amp;" "&amp;R21&amp;" is less than F06-10"&amp;CHAR(10),""),IF(S342&lt;S307," * F06-20 for Age "&amp;R20&amp;" "&amp;S21&amp;" is less than F06-10"&amp;CHAR(10),""),IF(T342&lt;T307," * F06-20 for Age "&amp;T20&amp;" "&amp;T21&amp;" is less than F06-10"&amp;CHAR(10),""),IF(U342&lt;U307," * F06-20 for Age "&amp;T20&amp;" "&amp;U21&amp;" is less than F06-10"&amp;CHAR(10),""),IF(V342&lt;V307," * F06-20 for Age "&amp;V20&amp;" "&amp;V21&amp;" is less than F06-10"&amp;CHAR(10),""),IF(W342&lt;W307," * F06-20 for Age "&amp;V20&amp;" "&amp;W21&amp;" is less than F06-10"&amp;CHAR(10),""),IF(X342&lt;X307," * F06-20 for Age "&amp;X20&amp;" "&amp;X21&amp;" is less than F06-10"&amp;CHAR(10),""),IF(Y342&lt;Y307," * F06-20 for Age "&amp;X20&amp;" "&amp;Y21&amp;" is less than F06-10"&amp;CHAR(10),""),IF(Z342&lt;Z307," * F06-20 for Age "&amp;Z20&amp;" "&amp;Z21&amp;" is less than F06-10"&amp;CHAR(10),""),IF(AA342&lt;AA307," * F06-20 for Age "&amp;Z20&amp;" "&amp;AA21&amp;" is less than F06-10"&amp;CHAR(10),""),IF(AJ342&lt;AJ307," * Total F06-20 is less than Total F06-10"&amp;CHAR(10),""))</f>
        <v/>
      </c>
      <c r="AN342" s="1377"/>
      <c r="AO342" s="13">
        <v>243</v>
      </c>
      <c r="AP342" s="74"/>
      <c r="AQ342" s="75"/>
    </row>
    <row r="343" spans="1:43" ht="27" thickBot="1" x14ac:dyDescent="0.45">
      <c r="A343" s="1120" t="s">
        <v>117</v>
      </c>
      <c r="B343" s="1118"/>
      <c r="C343" s="1118"/>
      <c r="D343" s="1116"/>
      <c r="E343" s="1116"/>
      <c r="F343" s="1116"/>
      <c r="G343" s="1116"/>
      <c r="H343" s="1116"/>
      <c r="I343" s="1116"/>
      <c r="J343" s="1116"/>
      <c r="K343" s="1116"/>
      <c r="L343" s="1116"/>
      <c r="M343" s="1116"/>
      <c r="N343" s="1116"/>
      <c r="O343" s="1116"/>
      <c r="P343" s="1116"/>
      <c r="Q343" s="1116"/>
      <c r="R343" s="1116"/>
      <c r="S343" s="1116"/>
      <c r="T343" s="1116"/>
      <c r="U343" s="1116"/>
      <c r="V343" s="1116"/>
      <c r="W343" s="1116"/>
      <c r="X343" s="1116"/>
      <c r="Y343" s="1116"/>
      <c r="Z343" s="1116"/>
      <c r="AA343" s="1116"/>
      <c r="AB343" s="1116"/>
      <c r="AC343" s="1116"/>
      <c r="AD343" s="1116"/>
      <c r="AE343" s="1116"/>
      <c r="AF343" s="1116"/>
      <c r="AG343" s="1116"/>
      <c r="AH343" s="1116"/>
      <c r="AI343" s="1116"/>
      <c r="AJ343" s="1116"/>
      <c r="AK343" s="1118"/>
      <c r="AL343" s="1118"/>
      <c r="AM343" s="1118"/>
      <c r="AN343" s="1119"/>
      <c r="AO343" s="13">
        <v>244</v>
      </c>
      <c r="AP343" s="74"/>
      <c r="AQ343" s="75"/>
    </row>
    <row r="344" spans="1:43" ht="26.25" customHeight="1" x14ac:dyDescent="0.4">
      <c r="A344" s="1164" t="s">
        <v>36</v>
      </c>
      <c r="B344" s="1160" t="s">
        <v>321</v>
      </c>
      <c r="C344" s="1162" t="s">
        <v>305</v>
      </c>
      <c r="D344" s="1166" t="s">
        <v>0</v>
      </c>
      <c r="E344" s="1166"/>
      <c r="F344" s="1166" t="s">
        <v>1</v>
      </c>
      <c r="G344" s="1166"/>
      <c r="H344" s="1166" t="s">
        <v>2</v>
      </c>
      <c r="I344" s="1166"/>
      <c r="J344" s="1166" t="s">
        <v>3</v>
      </c>
      <c r="K344" s="1166"/>
      <c r="L344" s="1166" t="s">
        <v>4</v>
      </c>
      <c r="M344" s="1166"/>
      <c r="N344" s="1166" t="s">
        <v>5</v>
      </c>
      <c r="O344" s="1166"/>
      <c r="P344" s="1166" t="s">
        <v>6</v>
      </c>
      <c r="Q344" s="1166"/>
      <c r="R344" s="1166" t="s">
        <v>7</v>
      </c>
      <c r="S344" s="1166"/>
      <c r="T344" s="1166" t="s">
        <v>8</v>
      </c>
      <c r="U344" s="1166"/>
      <c r="V344" s="1166" t="s">
        <v>23</v>
      </c>
      <c r="W344" s="1166"/>
      <c r="X344" s="1166" t="s">
        <v>24</v>
      </c>
      <c r="Y344" s="1166"/>
      <c r="Z344" s="1166" t="s">
        <v>9</v>
      </c>
      <c r="AA344" s="1166"/>
      <c r="AB344" s="1140" t="s">
        <v>963</v>
      </c>
      <c r="AC344" s="1184"/>
      <c r="AD344" s="1140" t="s">
        <v>964</v>
      </c>
      <c r="AE344" s="1184"/>
      <c r="AF344" s="1140" t="s">
        <v>1127</v>
      </c>
      <c r="AG344" s="1184"/>
      <c r="AH344" s="1140" t="s">
        <v>1128</v>
      </c>
      <c r="AI344" s="1184"/>
      <c r="AJ344" s="1408" t="s">
        <v>19</v>
      </c>
      <c r="AK344" s="1185" t="s">
        <v>354</v>
      </c>
      <c r="AL344" s="1187" t="s">
        <v>360</v>
      </c>
      <c r="AM344" s="1179" t="s">
        <v>361</v>
      </c>
      <c r="AN344" s="1159" t="s">
        <v>361</v>
      </c>
      <c r="AO344" s="13">
        <v>245</v>
      </c>
      <c r="AP344" s="74"/>
      <c r="AQ344" s="75"/>
    </row>
    <row r="345" spans="1:43" ht="27" customHeight="1" thickBot="1" x14ac:dyDescent="0.45">
      <c r="A345" s="1165"/>
      <c r="B345" s="1161"/>
      <c r="C345" s="1231"/>
      <c r="D345" s="284" t="s">
        <v>10</v>
      </c>
      <c r="E345" s="284" t="s">
        <v>11</v>
      </c>
      <c r="F345" s="284" t="s">
        <v>10</v>
      </c>
      <c r="G345" s="284" t="s">
        <v>11</v>
      </c>
      <c r="H345" s="284" t="s">
        <v>10</v>
      </c>
      <c r="I345" s="284" t="s">
        <v>11</v>
      </c>
      <c r="J345" s="284" t="s">
        <v>10</v>
      </c>
      <c r="K345" s="284" t="s">
        <v>11</v>
      </c>
      <c r="L345" s="284" t="s">
        <v>10</v>
      </c>
      <c r="M345" s="284" t="s">
        <v>11</v>
      </c>
      <c r="N345" s="284" t="s">
        <v>10</v>
      </c>
      <c r="O345" s="284" t="s">
        <v>11</v>
      </c>
      <c r="P345" s="284" t="s">
        <v>10</v>
      </c>
      <c r="Q345" s="284" t="s">
        <v>11</v>
      </c>
      <c r="R345" s="284" t="s">
        <v>10</v>
      </c>
      <c r="S345" s="284" t="s">
        <v>11</v>
      </c>
      <c r="T345" s="284" t="s">
        <v>10</v>
      </c>
      <c r="U345" s="284" t="s">
        <v>11</v>
      </c>
      <c r="V345" s="284" t="s">
        <v>10</v>
      </c>
      <c r="W345" s="284" t="s">
        <v>11</v>
      </c>
      <c r="X345" s="284" t="s">
        <v>10</v>
      </c>
      <c r="Y345" s="284" t="s">
        <v>11</v>
      </c>
      <c r="Z345" s="284" t="s">
        <v>10</v>
      </c>
      <c r="AA345" s="284" t="s">
        <v>11</v>
      </c>
      <c r="AB345" s="284" t="s">
        <v>10</v>
      </c>
      <c r="AC345" s="284" t="s">
        <v>11</v>
      </c>
      <c r="AD345" s="284" t="s">
        <v>10</v>
      </c>
      <c r="AE345" s="284" t="s">
        <v>11</v>
      </c>
      <c r="AF345" s="284" t="s">
        <v>10</v>
      </c>
      <c r="AG345" s="284" t="s">
        <v>11</v>
      </c>
      <c r="AH345" s="284" t="s">
        <v>10</v>
      </c>
      <c r="AI345" s="284" t="s">
        <v>11</v>
      </c>
      <c r="AJ345" s="1409"/>
      <c r="AK345" s="1186"/>
      <c r="AL345" s="1138"/>
      <c r="AM345" s="1132"/>
      <c r="AN345" s="1128"/>
      <c r="AO345" s="13">
        <v>246</v>
      </c>
      <c r="AP345" s="74"/>
      <c r="AQ345" s="75"/>
    </row>
    <row r="346" spans="1:43" s="235" customFormat="1" ht="27" thickBot="1" x14ac:dyDescent="0.45">
      <c r="A346" s="953" t="s">
        <v>275</v>
      </c>
      <c r="B346" s="230" t="s">
        <v>1289</v>
      </c>
      <c r="C346" s="579" t="s">
        <v>276</v>
      </c>
      <c r="D346" s="231">
        <f>SUM(D347:D352)</f>
        <v>0</v>
      </c>
      <c r="E346" s="232">
        <f>SUM(E347:E352)</f>
        <v>0</v>
      </c>
      <c r="F346" s="232">
        <f t="shared" ref="F346:AI346" si="141">SUM(F347:F352)</f>
        <v>0</v>
      </c>
      <c r="G346" s="232">
        <f t="shared" si="141"/>
        <v>0</v>
      </c>
      <c r="H346" s="232">
        <f t="shared" si="141"/>
        <v>0</v>
      </c>
      <c r="I346" s="232">
        <f t="shared" si="141"/>
        <v>0</v>
      </c>
      <c r="J346" s="232">
        <f t="shared" si="141"/>
        <v>0</v>
      </c>
      <c r="K346" s="232">
        <f t="shared" si="141"/>
        <v>0</v>
      </c>
      <c r="L346" s="232">
        <f t="shared" si="141"/>
        <v>0</v>
      </c>
      <c r="M346" s="232">
        <f t="shared" si="141"/>
        <v>0</v>
      </c>
      <c r="N346" s="232">
        <f t="shared" si="141"/>
        <v>0</v>
      </c>
      <c r="O346" s="232">
        <f t="shared" si="141"/>
        <v>0</v>
      </c>
      <c r="P346" s="232">
        <f t="shared" si="141"/>
        <v>0</v>
      </c>
      <c r="Q346" s="232">
        <f t="shared" si="141"/>
        <v>0</v>
      </c>
      <c r="R346" s="232">
        <f t="shared" si="141"/>
        <v>0</v>
      </c>
      <c r="S346" s="232">
        <f t="shared" si="141"/>
        <v>0</v>
      </c>
      <c r="T346" s="232">
        <f t="shared" si="141"/>
        <v>0</v>
      </c>
      <c r="U346" s="232">
        <f t="shared" si="141"/>
        <v>0</v>
      </c>
      <c r="V346" s="232">
        <f t="shared" si="141"/>
        <v>0</v>
      </c>
      <c r="W346" s="232">
        <f t="shared" si="141"/>
        <v>0</v>
      </c>
      <c r="X346" s="232">
        <f t="shared" si="141"/>
        <v>0</v>
      </c>
      <c r="Y346" s="232">
        <f t="shared" si="141"/>
        <v>0</v>
      </c>
      <c r="Z346" s="232">
        <f t="shared" si="141"/>
        <v>0</v>
      </c>
      <c r="AA346" s="232">
        <f t="shared" si="141"/>
        <v>0</v>
      </c>
      <c r="AB346" s="232">
        <f t="shared" si="141"/>
        <v>0</v>
      </c>
      <c r="AC346" s="232">
        <f t="shared" si="141"/>
        <v>0</v>
      </c>
      <c r="AD346" s="232">
        <f t="shared" si="141"/>
        <v>0</v>
      </c>
      <c r="AE346" s="232">
        <f t="shared" si="141"/>
        <v>0</v>
      </c>
      <c r="AF346" s="232">
        <f t="shared" si="141"/>
        <v>0</v>
      </c>
      <c r="AG346" s="232">
        <f t="shared" si="141"/>
        <v>0</v>
      </c>
      <c r="AH346" s="232">
        <f t="shared" si="141"/>
        <v>0</v>
      </c>
      <c r="AI346" s="232">
        <f t="shared" si="141"/>
        <v>0</v>
      </c>
      <c r="AJ346" s="403">
        <f>SUM(D346:AA346)</f>
        <v>0</v>
      </c>
      <c r="AK346" s="116" t="str">
        <f>CONCATENATE(IF(D346&gt;D359," * Starting ART for Age "&amp;D20&amp;" "&amp;D21&amp;" is more than Current On ART"&amp;CHAR(10),""),IF(E346&gt;E359," * Starting ART for Age "&amp;D20&amp;" "&amp;E21&amp;" is more than Current On ART"&amp;CHAR(10),""),IF(F346&gt;F359," * Starting ART for Age "&amp;F20&amp;" "&amp;F21&amp;" is more than Current On ART"&amp;CHAR(10),""),IF(G346&gt;G359," * Starting ART for Age "&amp;F20&amp;" "&amp;G21&amp;" is more than Current On ART"&amp;CHAR(10),""),IF(H346&gt;H359," * Starting ART for Age "&amp;H20&amp;" "&amp;H21&amp;" is more than Current On ART"&amp;CHAR(10),""),IF(I346&gt;I359," * Starting ART for Age "&amp;H20&amp;" "&amp;I21&amp;" is more than Current On ART"&amp;CHAR(10),""),IF(J346&gt;J359," * Starting ART for Age "&amp;J20&amp;" "&amp;J21&amp;" is more than Current On ART"&amp;CHAR(10),""),IF(K346&gt;K359," * Starting ART for Age "&amp;J20&amp;" "&amp;K21&amp;" is more than Current On ART"&amp;CHAR(10),""),IF(L346&gt;L359," * Starting ART for Age "&amp;L20&amp;" "&amp;L21&amp;" is more than Current On ART"&amp;CHAR(10),""),IF(M346&gt;M359," * Starting ART for Age "&amp;L20&amp;" "&amp;M21&amp;" is more than Current On ART"&amp;CHAR(10),""),IF(N346&gt;N359," * Starting ART for Age "&amp;N20&amp;" "&amp;N21&amp;" is more than Current On ART"&amp;CHAR(10),""),IF(O346&gt;O359," * Starting ART for Age "&amp;N20&amp;" "&amp;O21&amp;" is more than Current On ART"&amp;CHAR(10),""),IF(P346&gt;P359," * Starting ART for Age "&amp;P20&amp;" "&amp;P21&amp;" is more than Current On ART"&amp;CHAR(10),""),IF(Q346&gt;Q359," * Starting ART for Age "&amp;P20&amp;" "&amp;Q21&amp;" is more than Current On ART"&amp;CHAR(10),""),IF(R346&gt;R359," * Starting ART for Age "&amp;R20&amp;" "&amp;R21&amp;" is more than Current On ART"&amp;CHAR(10),""),IF(S346&gt;S359," * Starting ART for Age "&amp;R20&amp;" "&amp;S21&amp;" is more than Current On ART"&amp;CHAR(10),""),IF(T346&gt;T359," * Starting ART for Age "&amp;T20&amp;" "&amp;T21&amp;" is more than Current On ART"&amp;CHAR(10),""),IF(U346&gt;U359," * Starting ART for Age "&amp;T20&amp;" "&amp;U21&amp;" is more than Current On ART"&amp;CHAR(10),""),IF(V346&gt;V359," * Starting ART for Age "&amp;V20&amp;" "&amp;V21&amp;" is more than Current On ART"&amp;CHAR(10),""),IF(W346&gt;W359," * Starting ART for Age "&amp;V20&amp;" "&amp;W21&amp;" is more than Current On ART"&amp;CHAR(10),""),IF(X346&gt;X359," * Starting ART for Age "&amp;X20&amp;" "&amp;X21&amp;" is more than Current On ART"&amp;CHAR(10),""),IF(Y346&gt;Y359," * Starting ART for Age "&amp;X20&amp;" "&amp;Y21&amp;" is more than Current On ART"&amp;CHAR(10),""),IF(Z346&gt;Z359," * Starting ART for Age "&amp;Z20&amp;" "&amp;Z21&amp;" is more than Current On ART"&amp;CHAR(10),""),IF(AA346&gt;AA359," * Starting ART for Age "&amp;Z20&amp;" "&amp;AA21&amp;" is more than Current On ART"&amp;CHAR(10),""))</f>
        <v/>
      </c>
      <c r="AL346" s="1352" t="str">
        <f>CONCATENATE(AK346,AK347,AK348,AK349,AK350,AK351,AK352,AK353,AK358,AK359,AK360,AK361,AK362,AK363,AK364,AK365,AK366,AK368,AK367,AK369,AK370,AK371,AK372,AK373,AK354,AK355,AK356,AK357,AK385,AK386,AK387)</f>
        <v/>
      </c>
      <c r="AM346" s="31"/>
      <c r="AN346" s="1343" t="str">
        <f>CONCATENATE(AM346,AM347,AM348,AM349,AM350,AM351,AM352,AM353,AM358,AM359,AM360,AM361,AM362,AM363,AM364,AM365,AM366,AM367,AM368,AM369,AM370,AM371,AM372,AM373)</f>
        <v/>
      </c>
      <c r="AO346" s="13">
        <v>247</v>
      </c>
      <c r="AP346" s="233"/>
      <c r="AQ346" s="234"/>
    </row>
    <row r="347" spans="1:43" ht="26.25" x14ac:dyDescent="0.4">
      <c r="A347" s="1136" t="s">
        <v>542</v>
      </c>
      <c r="B347" s="1" t="s">
        <v>369</v>
      </c>
      <c r="C347" s="558" t="s">
        <v>536</v>
      </c>
      <c r="D347" s="236"/>
      <c r="E347" s="94"/>
      <c r="F347" s="94"/>
      <c r="G347" s="94"/>
      <c r="H347" s="94"/>
      <c r="I347" s="94"/>
      <c r="J347" s="94"/>
      <c r="K347" s="94"/>
      <c r="L347" s="94"/>
      <c r="M347" s="94"/>
      <c r="N347" s="94"/>
      <c r="O347" s="94"/>
      <c r="P347" s="94"/>
      <c r="Q347" s="94"/>
      <c r="R347" s="94"/>
      <c r="S347" s="94"/>
      <c r="T347" s="94"/>
      <c r="U347" s="94"/>
      <c r="V347" s="94"/>
      <c r="W347" s="94"/>
      <c r="X347" s="94"/>
      <c r="Y347" s="94"/>
      <c r="Z347" s="489">
        <f t="shared" ref="Z347:Z351" si="142">SUM(AB347,AD347,AF347,AH347)</f>
        <v>0</v>
      </c>
      <c r="AA347" s="489">
        <f t="shared" ref="AA347:AA351" si="143">SUM(AC347,AE347,AG347,AI347)</f>
        <v>0</v>
      </c>
      <c r="AB347" s="310"/>
      <c r="AC347" s="310"/>
      <c r="AD347" s="310"/>
      <c r="AE347" s="310"/>
      <c r="AF347" s="310"/>
      <c r="AG347" s="310"/>
      <c r="AH347" s="310"/>
      <c r="AI347" s="310"/>
      <c r="AJ347" s="594">
        <f t="shared" ref="AJ347:AJ352" si="144">SUM(D347:AA347)</f>
        <v>0</v>
      </c>
      <c r="AK347" s="116"/>
      <c r="AL347" s="1182"/>
      <c r="AM347" s="31"/>
      <c r="AN347" s="1344"/>
      <c r="AO347" s="13">
        <v>248</v>
      </c>
      <c r="AP347" s="74"/>
      <c r="AQ347" s="75"/>
    </row>
    <row r="348" spans="1:43" ht="26.25" x14ac:dyDescent="0.4">
      <c r="A348" s="1224"/>
      <c r="B348" s="2" t="s">
        <v>364</v>
      </c>
      <c r="C348" s="559" t="s">
        <v>537</v>
      </c>
      <c r="D348" s="237"/>
      <c r="E348" s="79"/>
      <c r="F348" s="79"/>
      <c r="G348" s="79"/>
      <c r="H348" s="79"/>
      <c r="I348" s="79"/>
      <c r="J348" s="79"/>
      <c r="K348" s="79"/>
      <c r="L348" s="79"/>
      <c r="M348" s="79"/>
      <c r="N348" s="79"/>
      <c r="O348" s="79"/>
      <c r="P348" s="79"/>
      <c r="Q348" s="79"/>
      <c r="R348" s="79"/>
      <c r="S348" s="79"/>
      <c r="T348" s="79"/>
      <c r="U348" s="79"/>
      <c r="V348" s="79"/>
      <c r="W348" s="79"/>
      <c r="X348" s="79"/>
      <c r="Y348" s="79"/>
      <c r="Z348" s="489">
        <f t="shared" si="142"/>
        <v>0</v>
      </c>
      <c r="AA348" s="489">
        <f t="shared" si="143"/>
        <v>0</v>
      </c>
      <c r="AB348" s="307"/>
      <c r="AC348" s="307"/>
      <c r="AD348" s="307"/>
      <c r="AE348" s="307"/>
      <c r="AF348" s="307"/>
      <c r="AG348" s="307"/>
      <c r="AH348" s="307"/>
      <c r="AI348" s="307"/>
      <c r="AJ348" s="595">
        <f t="shared" si="144"/>
        <v>0</v>
      </c>
      <c r="AK348" s="116"/>
      <c r="AL348" s="1182"/>
      <c r="AM348" s="31"/>
      <c r="AN348" s="1344"/>
      <c r="AO348" s="13">
        <v>249</v>
      </c>
      <c r="AP348" s="74"/>
      <c r="AQ348" s="75"/>
    </row>
    <row r="349" spans="1:43" ht="26.25" x14ac:dyDescent="0.4">
      <c r="A349" s="1224"/>
      <c r="B349" s="2" t="s">
        <v>365</v>
      </c>
      <c r="C349" s="559" t="s">
        <v>538</v>
      </c>
      <c r="D349" s="237"/>
      <c r="E349" s="79"/>
      <c r="F349" s="79"/>
      <c r="G349" s="79"/>
      <c r="H349" s="79"/>
      <c r="I349" s="79"/>
      <c r="J349" s="79"/>
      <c r="K349" s="79"/>
      <c r="L349" s="79"/>
      <c r="M349" s="79"/>
      <c r="N349" s="79"/>
      <c r="O349" s="79"/>
      <c r="P349" s="79"/>
      <c r="Q349" s="79"/>
      <c r="R349" s="79"/>
      <c r="S349" s="79"/>
      <c r="T349" s="79"/>
      <c r="U349" s="79"/>
      <c r="V349" s="79"/>
      <c r="W349" s="79"/>
      <c r="X349" s="79"/>
      <c r="Y349" s="79"/>
      <c r="Z349" s="489">
        <f t="shared" si="142"/>
        <v>0</v>
      </c>
      <c r="AA349" s="489">
        <f t="shared" si="143"/>
        <v>0</v>
      </c>
      <c r="AB349" s="307"/>
      <c r="AC349" s="307"/>
      <c r="AD349" s="307"/>
      <c r="AE349" s="307"/>
      <c r="AF349" s="307"/>
      <c r="AG349" s="307"/>
      <c r="AH349" s="307"/>
      <c r="AI349" s="307"/>
      <c r="AJ349" s="595">
        <f t="shared" si="144"/>
        <v>0</v>
      </c>
      <c r="AK349" s="116"/>
      <c r="AL349" s="1182"/>
      <c r="AM349" s="31"/>
      <c r="AN349" s="1344"/>
      <c r="AO349" s="13">
        <v>250</v>
      </c>
      <c r="AP349" s="74"/>
      <c r="AQ349" s="75"/>
    </row>
    <row r="350" spans="1:43" ht="26.25" hidden="1" x14ac:dyDescent="0.4">
      <c r="A350" s="1224"/>
      <c r="B350" s="2" t="s">
        <v>366</v>
      </c>
      <c r="C350" s="559" t="s">
        <v>539</v>
      </c>
      <c r="D350" s="237"/>
      <c r="E350" s="79"/>
      <c r="F350" s="79"/>
      <c r="G350" s="79"/>
      <c r="H350" s="79"/>
      <c r="I350" s="79"/>
      <c r="J350" s="79"/>
      <c r="K350" s="79"/>
      <c r="L350" s="79"/>
      <c r="M350" s="79"/>
      <c r="N350" s="79"/>
      <c r="O350" s="79"/>
      <c r="P350" s="79"/>
      <c r="Q350" s="79"/>
      <c r="R350" s="79"/>
      <c r="S350" s="79"/>
      <c r="T350" s="79"/>
      <c r="U350" s="79"/>
      <c r="V350" s="79"/>
      <c r="W350" s="79"/>
      <c r="X350" s="79"/>
      <c r="Y350" s="79"/>
      <c r="Z350" s="489">
        <f t="shared" si="142"/>
        <v>0</v>
      </c>
      <c r="AA350" s="489">
        <f t="shared" si="143"/>
        <v>0</v>
      </c>
      <c r="AB350" s="307"/>
      <c r="AC350" s="307"/>
      <c r="AD350" s="307"/>
      <c r="AE350" s="307"/>
      <c r="AF350" s="307"/>
      <c r="AG350" s="307"/>
      <c r="AH350" s="307"/>
      <c r="AI350" s="307"/>
      <c r="AJ350" s="595">
        <f t="shared" si="144"/>
        <v>0</v>
      </c>
      <c r="AK350" s="116"/>
      <c r="AL350" s="1182"/>
      <c r="AM350" s="31"/>
      <c r="AN350" s="1344"/>
      <c r="AO350" s="13">
        <v>251</v>
      </c>
      <c r="AP350" s="74"/>
      <c r="AQ350" s="75"/>
    </row>
    <row r="351" spans="1:43" ht="26.25" x14ac:dyDescent="0.4">
      <c r="A351" s="1224"/>
      <c r="B351" s="2" t="s">
        <v>367</v>
      </c>
      <c r="C351" s="559" t="s">
        <v>540</v>
      </c>
      <c r="D351" s="237"/>
      <c r="E351" s="79"/>
      <c r="F351" s="79"/>
      <c r="G351" s="79"/>
      <c r="H351" s="79"/>
      <c r="I351" s="79"/>
      <c r="J351" s="79"/>
      <c r="K351" s="79"/>
      <c r="L351" s="79"/>
      <c r="M351" s="79"/>
      <c r="N351" s="79"/>
      <c r="O351" s="79"/>
      <c r="P351" s="79"/>
      <c r="Q351" s="79"/>
      <c r="R351" s="79"/>
      <c r="S351" s="79"/>
      <c r="T351" s="79"/>
      <c r="U351" s="79"/>
      <c r="V351" s="79"/>
      <c r="W351" s="79"/>
      <c r="X351" s="79"/>
      <c r="Y351" s="79"/>
      <c r="Z351" s="489">
        <f t="shared" si="142"/>
        <v>0</v>
      </c>
      <c r="AA351" s="489">
        <f t="shared" si="143"/>
        <v>0</v>
      </c>
      <c r="AB351" s="307"/>
      <c r="AC351" s="307"/>
      <c r="AD351" s="307"/>
      <c r="AE351" s="307"/>
      <c r="AF351" s="307"/>
      <c r="AG351" s="307"/>
      <c r="AH351" s="307"/>
      <c r="AI351" s="307"/>
      <c r="AJ351" s="595">
        <f t="shared" si="144"/>
        <v>0</v>
      </c>
      <c r="AK351" s="116"/>
      <c r="AL351" s="1182"/>
      <c r="AM351" s="31"/>
      <c r="AN351" s="1344"/>
      <c r="AO351" s="13">
        <v>252</v>
      </c>
      <c r="AP351" s="74"/>
      <c r="AQ351" s="75"/>
    </row>
    <row r="352" spans="1:43" ht="27" thickBot="1" x14ac:dyDescent="0.45">
      <c r="A352" s="1110"/>
      <c r="B352" s="3" t="s">
        <v>368</v>
      </c>
      <c r="C352" s="560" t="s">
        <v>541</v>
      </c>
      <c r="D352" s="141"/>
      <c r="E352" s="89"/>
      <c r="F352" s="89"/>
      <c r="G352" s="89"/>
      <c r="H352" s="89"/>
      <c r="I352" s="89"/>
      <c r="J352" s="89"/>
      <c r="K352" s="89"/>
      <c r="L352" s="89"/>
      <c r="M352" s="89"/>
      <c r="N352" s="89"/>
      <c r="O352" s="89"/>
      <c r="P352" s="89"/>
      <c r="Q352" s="89"/>
      <c r="R352" s="89"/>
      <c r="S352" s="89"/>
      <c r="T352" s="89"/>
      <c r="U352" s="89"/>
      <c r="V352" s="89"/>
      <c r="W352" s="89"/>
      <c r="X352" s="89"/>
      <c r="Y352" s="89"/>
      <c r="Z352" s="489">
        <f>SUM(AB352,AD352,AF352,AH352)</f>
        <v>0</v>
      </c>
      <c r="AA352" s="489">
        <f>SUM(AC352,AE352,AG352,AI352)</f>
        <v>0</v>
      </c>
      <c r="AB352" s="309"/>
      <c r="AC352" s="309"/>
      <c r="AD352" s="309"/>
      <c r="AE352" s="309"/>
      <c r="AF352" s="309"/>
      <c r="AG352" s="309"/>
      <c r="AH352" s="309"/>
      <c r="AI352" s="309"/>
      <c r="AJ352" s="596">
        <f t="shared" si="144"/>
        <v>0</v>
      </c>
      <c r="AK352" s="116"/>
      <c r="AL352" s="1182"/>
      <c r="AM352" s="31"/>
      <c r="AN352" s="1344"/>
      <c r="AO352" s="13">
        <v>253</v>
      </c>
      <c r="AP352" s="74"/>
      <c r="AQ352" s="75"/>
    </row>
    <row r="353" spans="1:43" ht="30.75" customHeight="1" thickBot="1" x14ac:dyDescent="0.45">
      <c r="A353" s="953" t="s">
        <v>543</v>
      </c>
      <c r="B353" s="238" t="s">
        <v>669</v>
      </c>
      <c r="C353" s="579" t="s">
        <v>277</v>
      </c>
      <c r="D353" s="239"/>
      <c r="E353" s="228"/>
      <c r="F353" s="228"/>
      <c r="G353" s="228"/>
      <c r="H353" s="228"/>
      <c r="I353" s="228"/>
      <c r="J353" s="228"/>
      <c r="K353" s="229"/>
      <c r="L353" s="228"/>
      <c r="M353" s="229"/>
      <c r="N353" s="228"/>
      <c r="O353" s="229"/>
      <c r="P353" s="228"/>
      <c r="Q353" s="229"/>
      <c r="R353" s="228"/>
      <c r="S353" s="229"/>
      <c r="T353" s="228"/>
      <c r="U353" s="229"/>
      <c r="V353" s="228"/>
      <c r="W353" s="229"/>
      <c r="X353" s="228"/>
      <c r="Y353" s="229"/>
      <c r="Z353" s="228"/>
      <c r="AA353" s="344"/>
      <c r="AB353" s="376"/>
      <c r="AC353" s="377"/>
      <c r="AD353" s="377"/>
      <c r="AE353" s="377"/>
      <c r="AF353" s="377"/>
      <c r="AG353" s="377"/>
      <c r="AH353" s="377"/>
      <c r="AI353" s="303"/>
      <c r="AJ353" s="486">
        <f t="shared" ref="AJ353:AJ387" si="145">SUM(D353:AA353)</f>
        <v>0</v>
      </c>
      <c r="AK353" s="295" t="str">
        <f>CONCATENATE(IF(D353&gt;D346," * F07-02 for Age "&amp;D20&amp;" "&amp;D21&amp;" is more than F07-01"&amp;CHAR(10),""),IF(E353&gt;E346," * F07-02 for Age "&amp;D20&amp;" "&amp;E21&amp;" is more than F07-01"&amp;CHAR(10),""),IF(F353&gt;F346," * F07-02 for Age "&amp;F20&amp;" "&amp;F21&amp;" is more than F07-01"&amp;CHAR(10),""),IF(G353&gt;G346," * F07-02 for Age "&amp;F20&amp;" "&amp;G21&amp;" is more than F07-01"&amp;CHAR(10),""),IF(H353&gt;H346," * F07-02 for Age "&amp;H20&amp;" "&amp;H21&amp;" is more than F07-01"&amp;CHAR(10),""),IF(I353&gt;I346," * F07-02 for Age "&amp;H20&amp;" "&amp;I21&amp;" is more than F07-01"&amp;CHAR(10),""),IF(J353&gt;J346," * F07-02 for Age "&amp;J20&amp;" "&amp;J21&amp;" is more than F07-01"&amp;CHAR(10),""),IF(K353&gt;K346," * F07-02 for Age "&amp;J20&amp;" "&amp;K21&amp;" is more than F07-01"&amp;CHAR(10),""),IF(L353&gt;L346," * F07-02 for Age "&amp;L20&amp;" "&amp;L21&amp;" is more than F07-01"&amp;CHAR(10),""),IF(M353&gt;M346," * F07-02 for Age "&amp;L20&amp;" "&amp;M21&amp;" is more than F07-01"&amp;CHAR(10),""),IF(N353&gt;N346," * F07-02 for Age "&amp;N20&amp;" "&amp;N21&amp;" is more than F07-01"&amp;CHAR(10),""),IF(O353&gt;O346," * F07-02 for Age "&amp;N20&amp;" "&amp;O21&amp;" is more than F07-01"&amp;CHAR(10),""),IF(P353&gt;P346," * F07-02 for Age "&amp;P20&amp;" "&amp;P21&amp;" is more than F07-01"&amp;CHAR(10),""),IF(Q353&gt;Q346," * F07-02 for Age "&amp;P20&amp;" "&amp;Q21&amp;" is more than F07-01"&amp;CHAR(10),""),IF(R353&gt;R346," * F07-02 for Age "&amp;R20&amp;" "&amp;R21&amp;" is more than F07-01"&amp;CHAR(10),""),IF(S353&gt;S346," * F07-02 for Age "&amp;R20&amp;" "&amp;S21&amp;" is more than F07-01"&amp;CHAR(10),""),IF(T353&gt;T346," * F07-02 for Age "&amp;T20&amp;" "&amp;T21&amp;" is more than F07-01"&amp;CHAR(10),""),IF(U353&gt;U346," * F07-02 for Age "&amp;T20&amp;" "&amp;U21&amp;" is more than F07-01"&amp;CHAR(10),""),IF(V353&gt;V346," * F07-02 for Age "&amp;V20&amp;" "&amp;V21&amp;" is more than F07-01"&amp;CHAR(10),""),IF(W353&gt;W346," * F07-02 for Age "&amp;V20&amp;" "&amp;W21&amp;" is more than F07-01"&amp;CHAR(10),""),IF(X353&gt;X346," * F07-02 for Age "&amp;X20&amp;" "&amp;X21&amp;" is more than F07-01"&amp;CHAR(10),""),IF(Y353&gt;Y346," * F07-02 for Age "&amp;X20&amp;" "&amp;Y21&amp;" is more than F07-01"&amp;CHAR(10),""),IF(Z353&gt;Z346," * F07-02 for Age "&amp;Z20&amp;" "&amp;Z21&amp;" is more than F07-01"&amp;CHAR(10),""),IF(AA353&gt;AA346," * F07-02 for Age "&amp;Z20&amp;" "&amp;AA21&amp;" is more than F07-01"&amp;CHAR(10),""),IF(AJ353&gt;AJ346," * Total F07-02 is more than Total F07-01"&amp;CHAR(10),""))</f>
        <v/>
      </c>
      <c r="AL353" s="1182"/>
      <c r="AM353" s="60" t="str">
        <f>CONCATENATE(IF(AND(AJ346&gt;0,OR(SUM(AJ28,AJ34,AJ36,AJ38,AJ40,AJ42,AJ44,AJ46,AJ48,AJ50,AJ295,AJ299,AJ303,AJ307)=0,SUM(AJ27,AJ33,AJ35,AJ37,AJ39,AJ41,AJ43,AJ45,AJ47,AJ49,AJ294,AJ298,AJ302,AJ306)=0))," * This site started patients on ART yet it has 0 positives or zero tested "&amp;CHAR(10),""),"")</f>
        <v/>
      </c>
      <c r="AN353" s="1344"/>
      <c r="AO353" s="13">
        <v>254</v>
      </c>
      <c r="AP353" s="74"/>
      <c r="AQ353" s="75"/>
    </row>
    <row r="354" spans="1:43" ht="27" thickBot="1" x14ac:dyDescent="0.45">
      <c r="A354" s="1393" t="s">
        <v>1347</v>
      </c>
      <c r="B354" s="466" t="s">
        <v>1345</v>
      </c>
      <c r="C354" s="561" t="s">
        <v>921</v>
      </c>
      <c r="D354" s="232">
        <f t="shared" ref="D354:AI354" si="146">SUM(D355:D357)</f>
        <v>0</v>
      </c>
      <c r="E354" s="232">
        <f t="shared" si="146"/>
        <v>0</v>
      </c>
      <c r="F354" s="232">
        <f t="shared" si="146"/>
        <v>0</v>
      </c>
      <c r="G354" s="232">
        <f t="shared" si="146"/>
        <v>0</v>
      </c>
      <c r="H354" s="232">
        <f t="shared" si="146"/>
        <v>0</v>
      </c>
      <c r="I354" s="232">
        <f t="shared" si="146"/>
        <v>0</v>
      </c>
      <c r="J354" s="232">
        <f t="shared" si="146"/>
        <v>0</v>
      </c>
      <c r="K354" s="232">
        <f t="shared" si="146"/>
        <v>0</v>
      </c>
      <c r="L354" s="232">
        <f t="shared" si="146"/>
        <v>0</v>
      </c>
      <c r="M354" s="232">
        <f t="shared" si="146"/>
        <v>0</v>
      </c>
      <c r="N354" s="232">
        <f t="shared" si="146"/>
        <v>0</v>
      </c>
      <c r="O354" s="232">
        <f t="shared" si="146"/>
        <v>0</v>
      </c>
      <c r="P354" s="232">
        <f t="shared" si="146"/>
        <v>0</v>
      </c>
      <c r="Q354" s="232">
        <f t="shared" si="146"/>
        <v>0</v>
      </c>
      <c r="R354" s="232">
        <f t="shared" si="146"/>
        <v>0</v>
      </c>
      <c r="S354" s="232">
        <f t="shared" si="146"/>
        <v>0</v>
      </c>
      <c r="T354" s="232">
        <f t="shared" si="146"/>
        <v>0</v>
      </c>
      <c r="U354" s="232">
        <f t="shared" si="146"/>
        <v>0</v>
      </c>
      <c r="V354" s="232">
        <f t="shared" si="146"/>
        <v>0</v>
      </c>
      <c r="W354" s="232">
        <f t="shared" si="146"/>
        <v>0</v>
      </c>
      <c r="X354" s="232">
        <f t="shared" si="146"/>
        <v>0</v>
      </c>
      <c r="Y354" s="232">
        <f t="shared" si="146"/>
        <v>0</v>
      </c>
      <c r="Z354" s="489">
        <f>SUM(AB354,AD354,AF354,AH354)</f>
        <v>0</v>
      </c>
      <c r="AA354" s="489">
        <f>SUM(AC354,AE354,AG354,AI354)</f>
        <v>0</v>
      </c>
      <c r="AB354" s="232">
        <f t="shared" si="146"/>
        <v>0</v>
      </c>
      <c r="AC354" s="232">
        <f t="shared" si="146"/>
        <v>0</v>
      </c>
      <c r="AD354" s="232">
        <f t="shared" si="146"/>
        <v>0</v>
      </c>
      <c r="AE354" s="232">
        <f t="shared" si="146"/>
        <v>0</v>
      </c>
      <c r="AF354" s="232">
        <f t="shared" si="146"/>
        <v>0</v>
      </c>
      <c r="AG354" s="232">
        <f t="shared" si="146"/>
        <v>0</v>
      </c>
      <c r="AH354" s="232">
        <f t="shared" si="146"/>
        <v>0</v>
      </c>
      <c r="AI354" s="232">
        <f t="shared" si="146"/>
        <v>0</v>
      </c>
      <c r="AJ354" s="595">
        <f t="shared" ref="AJ354:AJ357" si="147">SUM(D354:AA354)</f>
        <v>0</v>
      </c>
      <c r="AK354" s="895" t="str">
        <f>CONCATENATE(IF(D354&lt;&gt;D346," * starting ART disaggregation by CD4 For age "&amp;$D$20&amp;" "&amp;$D$21&amp;" should be equal to Total Patients starting ART"&amp;CHAR(10),""),IF(E354&lt;&gt;E346," * starting ART disaggregation by CD4 For age "&amp;$D$20&amp;" "&amp;$E$21&amp;" should be equal to Total Patients starting ART"&amp;CHAR(10),""),IF(F354&lt;&gt;F346," * starting ART disaggregation by CD4 For age "&amp;$F$20&amp;" "&amp;$F$21&amp;" should be equal to Total Patients starting ART"&amp;CHAR(10),""),IF(G354&lt;&gt;G346," * starting ART disaggregation by CD4 For age "&amp;$F$20&amp;" "&amp;$G$21&amp;" should be equal to Total Patients starting ART"&amp;CHAR(10),""),IF(H354&lt;&gt;H346," * starting ART disaggregation by CD4 For age "&amp;$H$20&amp;" "&amp;$H$21&amp;" should be equal to Total Patients starting ART"&amp;CHAR(10),""),IF(I354&lt;&gt;I346," * starting ART disaggregation by CD4 For age "&amp;$H$20&amp;" "&amp;$I$21&amp;" should be equal to Total Patients starting ART"&amp;CHAR(10),""),IF(J354&lt;&gt;J346," * starting ART disaggregation by CD4 For age "&amp;$J$20&amp;" "&amp;$J$21&amp;" should be equal to Total Patients starting ART"&amp;CHAR(10),""),IF(K354&lt;&gt;K346," * starting ART disaggregation by CD4 For age "&amp;$J$20&amp;" "&amp;$K$21&amp;" should be equal to Total Patients starting ART"&amp;CHAR(10),""),IF(L354&lt;&gt;L346," * starting ART disaggregation by CD4 For age "&amp;$L$20&amp;" "&amp;$L$21&amp;" should be equal to Total Patients starting ART"&amp;CHAR(10),""),IF(M354&lt;&gt;M346," * starting ART disaggregation by CD4 For age "&amp;$L$20&amp;" "&amp;$M$21&amp;" should be equal to Total Patients starting ART"&amp;CHAR(10),""),IF(N354&lt;&gt;N346," * starting ART disaggregation by CD4 For age "&amp;$N$20&amp;" "&amp;$N$21&amp;" should be equal to Total Patients starting ART"&amp;CHAR(10),""),IF(O354&lt;&gt;O346," * starting ART disaggregation by CD4 For age "&amp;$N$20&amp;" "&amp;$O$21&amp;" should be equal to Total Patients starting ART"&amp;CHAR(10),""),IF(P354&lt;&gt;P346," * starting ART disaggregation by CD4 For age "&amp;$P$20&amp;" "&amp;$P$21&amp;" should be equal to Total Patients starting ART"&amp;CHAR(10),""),IF(Q354&lt;&gt;Q346," * starting ART disaggregation by CD4 For age "&amp;$P$20&amp;" "&amp;$Q$21&amp;" should be equal to Total Patients starting ART"&amp;CHAR(10),""),IF(R354&lt;&gt;R346," * starting ART disaggregation by CD4 For age "&amp;$R$20&amp;" "&amp;$R$21&amp;" should be equal to Total Patients starting ART"&amp;CHAR(10),""),IF(S354&lt;&gt;S346," * starting ART disaggregation by CD4 For age "&amp;$R$20&amp;" "&amp;$S$21&amp;" should be equal to Total Patients starting ART"&amp;CHAR(10),""),IF(T354&lt;&gt;T346," * starting ART disaggregation by CD4 For age "&amp;$T$20&amp;" "&amp;$T$21&amp;" should be equal to Total Patients starting ART"&amp;CHAR(10),""),IF(U354&lt;&gt;U346," * starting ART disaggregation by CD4 For age "&amp;$T$20&amp;" "&amp;$U$21&amp;" should be equal to Total Patients starting ART"&amp;CHAR(10),""),IF(V354&lt;&gt;V346," * starting ART disaggregation by CD4 For age "&amp;$V$20&amp;" "&amp;$V$21&amp;" should be equal to Total Patients starting ART"&amp;CHAR(10),""),IF(W354&lt;&gt;W346," * starting ART disaggregation by CD4 For age "&amp;$V$20&amp;" "&amp;$W$21&amp;" should be equal to Total Patients starting ART"&amp;CHAR(10),""),IF(X354&lt;&gt;X346," * starting ART disaggregation by CD4 For age "&amp;$X$20&amp;" "&amp;$X$21&amp;" should be equal to Total Patients starting ART"&amp;CHAR(10),""),IF(Y354&lt;&gt;Y346," * starting ART disaggregation by CD4 For age "&amp;$X$20&amp;" "&amp;$Y$21&amp;" should be equal to Total Patients starting ART"&amp;CHAR(10),""),IF(Z354&lt;&gt;Z346," * starting ART disaggregation by CD4 For age "&amp;$Z$20&amp;" "&amp;$Z$21&amp;" should be equal to Total Patients starting ART"&amp;CHAR(10),""),IF(AA354&lt;&gt;AA346," * starting ART disaggregation by CD4 For age "&amp;$Z$20&amp;" "&amp;$AA$21&amp;" should be equal to Total Patients starting ART"&amp;CHAR(10),""))</f>
        <v/>
      </c>
      <c r="AL354" s="1182"/>
      <c r="AM354" s="60"/>
      <c r="AN354" s="1344"/>
      <c r="AO354" s="13">
        <v>255</v>
      </c>
      <c r="AP354" s="74"/>
      <c r="AQ354" s="75"/>
    </row>
    <row r="355" spans="1:43" ht="26.25" x14ac:dyDescent="0.4">
      <c r="A355" s="1394"/>
      <c r="B355" s="938" t="s">
        <v>1283</v>
      </c>
      <c r="C355" s="940" t="s">
        <v>1285</v>
      </c>
      <c r="D355" s="77"/>
      <c r="E355" s="77"/>
      <c r="F355" s="77"/>
      <c r="G355" s="77"/>
      <c r="H355" s="237"/>
      <c r="I355" s="1012"/>
      <c r="J355" s="79"/>
      <c r="K355" s="79"/>
      <c r="L355" s="79"/>
      <c r="M355" s="79"/>
      <c r="N355" s="79"/>
      <c r="O355" s="79"/>
      <c r="P355" s="79"/>
      <c r="Q355" s="79"/>
      <c r="R355" s="79"/>
      <c r="S355" s="79"/>
      <c r="T355" s="79"/>
      <c r="U355" s="79"/>
      <c r="V355" s="79"/>
      <c r="W355" s="79"/>
      <c r="X355" s="79"/>
      <c r="Y355" s="79"/>
      <c r="Z355" s="489">
        <f t="shared" ref="Z355:AA359" si="148">SUM(AB355,AD355,AF355,AH355)</f>
        <v>0</v>
      </c>
      <c r="AA355" s="489">
        <f>SUM(AC355,AE355,AG355,AI355)</f>
        <v>0</v>
      </c>
      <c r="AB355" s="307"/>
      <c r="AC355" s="307"/>
      <c r="AD355" s="307"/>
      <c r="AE355" s="307"/>
      <c r="AF355" s="307"/>
      <c r="AG355" s="307"/>
      <c r="AH355" s="307"/>
      <c r="AI355" s="307"/>
      <c r="AJ355" s="595">
        <f t="shared" si="147"/>
        <v>0</v>
      </c>
      <c r="AK355" s="872"/>
      <c r="AL355" s="1182"/>
      <c r="AM355" s="60"/>
      <c r="AN355" s="1344"/>
      <c r="AO355" s="13"/>
      <c r="AP355" s="74"/>
      <c r="AQ355" s="75"/>
    </row>
    <row r="356" spans="1:43" ht="26.25" x14ac:dyDescent="0.4">
      <c r="A356" s="1394"/>
      <c r="B356" s="938" t="s">
        <v>1288</v>
      </c>
      <c r="C356" s="941" t="s">
        <v>1286</v>
      </c>
      <c r="D356" s="77"/>
      <c r="E356" s="77"/>
      <c r="F356" s="77"/>
      <c r="G356" s="77"/>
      <c r="H356" s="237"/>
      <c r="I356" s="79"/>
      <c r="J356" s="79"/>
      <c r="K356" s="79"/>
      <c r="L356" s="79"/>
      <c r="M356" s="79"/>
      <c r="N356" s="79"/>
      <c r="O356" s="79"/>
      <c r="P356" s="79"/>
      <c r="Q356" s="79"/>
      <c r="R356" s="79"/>
      <c r="S356" s="79"/>
      <c r="T356" s="79"/>
      <c r="U356" s="79"/>
      <c r="V356" s="79"/>
      <c r="W356" s="79"/>
      <c r="X356" s="79"/>
      <c r="Y356" s="79"/>
      <c r="Z356" s="489">
        <f t="shared" si="148"/>
        <v>0</v>
      </c>
      <c r="AA356" s="489">
        <f t="shared" si="148"/>
        <v>0</v>
      </c>
      <c r="AB356" s="307"/>
      <c r="AC356" s="307"/>
      <c r="AD356" s="307"/>
      <c r="AE356" s="307"/>
      <c r="AF356" s="307"/>
      <c r="AG356" s="307"/>
      <c r="AH356" s="307"/>
      <c r="AI356" s="307"/>
      <c r="AJ356" s="595">
        <f t="shared" si="147"/>
        <v>0</v>
      </c>
      <c r="AK356" s="872"/>
      <c r="AL356" s="1182"/>
      <c r="AM356" s="60"/>
      <c r="AN356" s="1344"/>
      <c r="AO356" s="13"/>
      <c r="AP356" s="74"/>
      <c r="AQ356" s="75"/>
    </row>
    <row r="357" spans="1:43" ht="33" customHeight="1" thickBot="1" x14ac:dyDescent="0.45">
      <c r="A357" s="1395"/>
      <c r="B357" s="938" t="s">
        <v>1284</v>
      </c>
      <c r="C357" s="942" t="s">
        <v>1287</v>
      </c>
      <c r="D357" s="141"/>
      <c r="E357" s="141"/>
      <c r="F357" s="141"/>
      <c r="G357" s="141"/>
      <c r="H357" s="141"/>
      <c r="I357" s="89"/>
      <c r="J357" s="89"/>
      <c r="K357" s="89"/>
      <c r="L357" s="89"/>
      <c r="M357" s="89"/>
      <c r="N357" s="89"/>
      <c r="O357" s="89"/>
      <c r="P357" s="89"/>
      <c r="Q357" s="89"/>
      <c r="R357" s="89"/>
      <c r="S357" s="89"/>
      <c r="T357" s="89"/>
      <c r="U357" s="89"/>
      <c r="V357" s="89"/>
      <c r="W357" s="89"/>
      <c r="X357" s="89"/>
      <c r="Y357" s="943"/>
      <c r="Z357" s="489">
        <f t="shared" si="148"/>
        <v>0</v>
      </c>
      <c r="AA357" s="489">
        <f t="shared" si="148"/>
        <v>0</v>
      </c>
      <c r="AB357" s="307"/>
      <c r="AC357" s="307"/>
      <c r="AD357" s="307"/>
      <c r="AE357" s="307"/>
      <c r="AF357" s="307"/>
      <c r="AG357" s="307"/>
      <c r="AH357" s="307"/>
      <c r="AI357" s="307"/>
      <c r="AJ357" s="595">
        <f t="shared" si="147"/>
        <v>0</v>
      </c>
      <c r="AK357" s="872"/>
      <c r="AL357" s="1182"/>
      <c r="AM357" s="60"/>
      <c r="AN357" s="1344"/>
      <c r="AO357" s="13"/>
      <c r="AP357" s="74"/>
      <c r="AQ357" s="75"/>
    </row>
    <row r="358" spans="1:43" ht="30.75" customHeight="1" thickBot="1" x14ac:dyDescent="0.45">
      <c r="A358" s="1136" t="s">
        <v>544</v>
      </c>
      <c r="B358" s="525" t="s">
        <v>916</v>
      </c>
      <c r="C358" s="561" t="s">
        <v>531</v>
      </c>
      <c r="D358" s="526"/>
      <c r="E358" s="240"/>
      <c r="F358" s="240"/>
      <c r="G358" s="240"/>
      <c r="H358" s="240"/>
      <c r="I358" s="240"/>
      <c r="J358" s="240"/>
      <c r="K358" s="240"/>
      <c r="L358" s="240"/>
      <c r="M358" s="240"/>
      <c r="N358" s="240"/>
      <c r="O358" s="240"/>
      <c r="P358" s="240"/>
      <c r="Q358" s="240"/>
      <c r="R358" s="240"/>
      <c r="S358" s="240"/>
      <c r="T358" s="240"/>
      <c r="U358" s="240"/>
      <c r="V358" s="240"/>
      <c r="W358" s="240"/>
      <c r="X358" s="240"/>
      <c r="Y358" s="322"/>
      <c r="Z358" s="527">
        <f t="shared" si="148"/>
        <v>0</v>
      </c>
      <c r="AA358" s="527">
        <f t="shared" si="148"/>
        <v>0</v>
      </c>
      <c r="AB358" s="528"/>
      <c r="AC358" s="529"/>
      <c r="AD358" s="529"/>
      <c r="AE358" s="529"/>
      <c r="AF358" s="529"/>
      <c r="AG358" s="529"/>
      <c r="AH358" s="529"/>
      <c r="AI358" s="529"/>
      <c r="AJ358" s="530">
        <f t="shared" ref="AJ358" si="149">SUM(D358:AA358)</f>
        <v>0</v>
      </c>
      <c r="AK358" s="116" t="str">
        <f>CONCATENATE(IF(D358&gt;D359," * &lt; 28 Days Defaulters for Age "&amp;D20&amp;" "&amp;D21&amp;" is more than Current On ART"&amp;CHAR(10),""),IF(E358&gt;E359," * &lt; 28 Days Defaulters for Age "&amp;D20&amp;" "&amp;E21&amp;" is more than Current On ART"&amp;CHAR(10),""),IF(F358&gt;F359," * &lt; 28 Days Defaulters for Age "&amp;F20&amp;" "&amp;F21&amp;" is more than Current On ART"&amp;CHAR(10),""),IF(G358&gt;G359," * &lt; 28 Days Defaulters for Age "&amp;F20&amp;" "&amp;G21&amp;" is more than Current On ART"&amp;CHAR(10),""),IF(H358&gt;H359," * &lt; 28 Days Defaulters for Age "&amp;H20&amp;" "&amp;H21&amp;" is more than Current On ART"&amp;CHAR(10),""),IF(I358&gt;I359," * &lt; 28 Days Defaulters for Age "&amp;H20&amp;" "&amp;I21&amp;" is more than Current On ART"&amp;CHAR(10),""),IF(J358&gt;J359," * &lt; 28 Days Defaulters for Age "&amp;J20&amp;" "&amp;J21&amp;" is more than Current On ART"&amp;CHAR(10),""),IF(K358&gt;K359," * &lt; 28 Days Defaulters for Age "&amp;J20&amp;" "&amp;K21&amp;" is more than Current On ART"&amp;CHAR(10),""),IF(L358&gt;L359," * &lt; 28 Days Defaulters for Age "&amp;L20&amp;" "&amp;L21&amp;" is more than Current On ART"&amp;CHAR(10),""),IF(M358&gt;M359," * &lt; 28 Days Defaulters for Age "&amp;L20&amp;" "&amp;M21&amp;" is more than Current On ART"&amp;CHAR(10),""),IF(N358&gt;N359," * &lt; 28 Days Defaulters for Age "&amp;N20&amp;" "&amp;N21&amp;" is more than Current On ART"&amp;CHAR(10),""),IF(O358&gt;O359," * &lt; 28 Days Defaulters for Age "&amp;N20&amp;" "&amp;O21&amp;" is more than Current On ART"&amp;CHAR(10),""),IF(P358&gt;P359," * &lt; 28 Days Defaulters for Age "&amp;P20&amp;" "&amp;P21&amp;" is more than Current On ART"&amp;CHAR(10),""),IF(Q358&gt;Q359," * &lt; 28 Days Defaulters for Age "&amp;P20&amp;" "&amp;Q21&amp;" is more than Current On ART"&amp;CHAR(10),""),IF(R358&gt;R359," * &lt; 28 Days Defaulters for Age "&amp;R20&amp;" "&amp;R21&amp;" is more than Current On ART"&amp;CHAR(10),""),IF(S358&gt;S359," * &lt; 28 Days Defaulters for Age "&amp;R20&amp;" "&amp;S21&amp;" is more than Current On ART"&amp;CHAR(10),""),IF(T358&gt;T359," * &lt; 28 Days Defaulters for Age "&amp;T20&amp;" "&amp;T21&amp;" is more than Current On ART"&amp;CHAR(10),""),IF(U358&gt;U359," * &lt; 28 Days Defaulters for Age "&amp;T20&amp;" "&amp;U21&amp;" is more than Current On ART"&amp;CHAR(10),""),IF(V358&gt;V359," * &lt; 28 Days Defaulters for Age "&amp;V20&amp;" "&amp;V21&amp;" is more than Current On ART"&amp;CHAR(10),""),IF(W358&gt;W359," * &lt; 28 Days Defaulters for Age "&amp;V20&amp;" "&amp;W21&amp;" is more than Current On ART"&amp;CHAR(10),""),IF(X358&gt;X359," * &lt; 28 Days Defaulters for Age "&amp;X20&amp;" "&amp;X21&amp;" is more than Current On ART"&amp;CHAR(10),""),IF(Y358&gt;Y359," * &lt; 28 Days Defaulters for Age "&amp;X20&amp;" "&amp;Y21&amp;" is more than Current On ART"&amp;CHAR(10),""),IF(Z358&gt;Z359," * &lt; 28 Days Defaulters for Age "&amp;Z20&amp;" "&amp;Z21&amp;" is more than Current On ART"&amp;CHAR(10),""),IF(AA358&gt;AA359," * &lt; 28 Days Defaulters for Age "&amp;Z20&amp;" "&amp;AA21&amp;" is more than Current On ART"&amp;CHAR(10),""))</f>
        <v/>
      </c>
      <c r="AL358" s="1182"/>
      <c r="AM358" s="31"/>
      <c r="AN358" s="1344"/>
      <c r="AO358" s="13">
        <v>256</v>
      </c>
      <c r="AP358" s="74"/>
      <c r="AQ358" s="75"/>
    </row>
    <row r="359" spans="1:43" s="83" customFormat="1" ht="33" customHeight="1" thickBot="1" x14ac:dyDescent="0.3">
      <c r="A359" s="1110"/>
      <c r="B359" s="230" t="s">
        <v>793</v>
      </c>
      <c r="C359" s="579" t="s">
        <v>279</v>
      </c>
      <c r="D359" s="533">
        <f>SUM(D360:D365)</f>
        <v>0</v>
      </c>
      <c r="E359" s="534">
        <f t="shared" ref="E359:AG359" si="150">SUM(E360:E365)</f>
        <v>0</v>
      </c>
      <c r="F359" s="534">
        <f t="shared" si="150"/>
        <v>0</v>
      </c>
      <c r="G359" s="534">
        <f t="shared" si="150"/>
        <v>0</v>
      </c>
      <c r="H359" s="534">
        <f t="shared" si="150"/>
        <v>0</v>
      </c>
      <c r="I359" s="534">
        <f t="shared" si="150"/>
        <v>0</v>
      </c>
      <c r="J359" s="534">
        <f t="shared" si="150"/>
        <v>0</v>
      </c>
      <c r="K359" s="534">
        <f t="shared" si="150"/>
        <v>0</v>
      </c>
      <c r="L359" s="534">
        <f t="shared" si="150"/>
        <v>0</v>
      </c>
      <c r="M359" s="534">
        <f t="shared" si="150"/>
        <v>0</v>
      </c>
      <c r="N359" s="534">
        <f t="shared" si="150"/>
        <v>0</v>
      </c>
      <c r="O359" s="534">
        <f t="shared" si="150"/>
        <v>0</v>
      </c>
      <c r="P359" s="534">
        <f t="shared" si="150"/>
        <v>0</v>
      </c>
      <c r="Q359" s="534">
        <f t="shared" si="150"/>
        <v>0</v>
      </c>
      <c r="R359" s="534">
        <f t="shared" si="150"/>
        <v>0</v>
      </c>
      <c r="S359" s="534">
        <f t="shared" si="150"/>
        <v>0</v>
      </c>
      <c r="T359" s="534">
        <f t="shared" si="150"/>
        <v>0</v>
      </c>
      <c r="U359" s="534">
        <f t="shared" si="150"/>
        <v>0</v>
      </c>
      <c r="V359" s="534">
        <f t="shared" si="150"/>
        <v>0</v>
      </c>
      <c r="W359" s="534">
        <f t="shared" si="150"/>
        <v>0</v>
      </c>
      <c r="X359" s="534">
        <f t="shared" si="150"/>
        <v>0</v>
      </c>
      <c r="Y359" s="535">
        <f t="shared" si="150"/>
        <v>0</v>
      </c>
      <c r="Z359" s="522">
        <f t="shared" si="148"/>
        <v>0</v>
      </c>
      <c r="AA359" s="522">
        <f t="shared" si="148"/>
        <v>0</v>
      </c>
      <c r="AB359" s="533">
        <f t="shared" si="150"/>
        <v>0</v>
      </c>
      <c r="AC359" s="534">
        <f t="shared" si="150"/>
        <v>0</v>
      </c>
      <c r="AD359" s="534">
        <f t="shared" si="150"/>
        <v>0</v>
      </c>
      <c r="AE359" s="534">
        <f t="shared" si="150"/>
        <v>0</v>
      </c>
      <c r="AF359" s="534">
        <f t="shared" si="150"/>
        <v>0</v>
      </c>
      <c r="AG359" s="534">
        <f t="shared" si="150"/>
        <v>0</v>
      </c>
      <c r="AH359" s="534">
        <f t="shared" ref="AH359:AI359" si="151">SUM(AH360:AH365)</f>
        <v>0</v>
      </c>
      <c r="AI359" s="534">
        <f t="shared" si="151"/>
        <v>0</v>
      </c>
      <c r="AJ359" s="536">
        <f>SUM(AJ360:AJ365)</f>
        <v>0</v>
      </c>
      <c r="AK359" s="1013" t="str">
        <f>CONCATENATE(IF(D359&lt;&gt;D372,""&amp;CHAR(10)&amp;"  * Current on ART by month of dispense F07-16 for age "&amp;D344&amp;" "&amp;D345&amp;" is not equal to Clients current On ART F07-03 age  "&amp;D344&amp;" "&amp;D345&amp;"",""),IF(E359&lt;&gt;E372,""&amp;CHAR(10)&amp;"  * Current on ART by month of dispense F07-16 for age "&amp;D344&amp;" "&amp;E345&amp;" is not equal to Clients current On ART F07-03 age  "&amp;D344&amp;" "&amp;E345&amp;"",""),IF(F359&lt;&gt;F372,""&amp;CHAR(10)&amp;"  * Current on ART by month of dispense F07-16 for age "&amp;F344&amp;" "&amp;F345&amp;" is not equal to Clients current On ART F07-03 age  "&amp;F344&amp;" "&amp;F345&amp;"",""),IF(G359&lt;&gt;G372,""&amp;CHAR(10)&amp;"  * Current on ART by month of dispense F07-16 for age "&amp;F344&amp;" "&amp;G345&amp;" is not equal to Clients current On ART F07-03 age  "&amp;F344&amp;" "&amp;G345&amp;"",""),IF(H359&lt;&gt;H372,""&amp;CHAR(10)&amp;"  * Current on ART by month of dispense F07-16 for age "&amp;H344&amp;" "&amp;H345&amp;" is not equal to Clients current On ART F07-03 age  "&amp;H344&amp;" "&amp;H345&amp;"",""),IF(I359&lt;&gt;I372,""&amp;CHAR(10)&amp;"  * Current on ART by month of dispense F07-16 for age "&amp;H344&amp;" "&amp;I345&amp;" is not equal to Clients current On ART F07-03 age  "&amp;H344&amp;" "&amp;I345&amp;"",""),IF(J359&lt;&gt;J372,""&amp;CHAR(10)&amp;"  * Current on ART by month of dispense F07-16 for age "&amp;J344&amp;" "&amp;J345&amp;" is not equal to Clients current On ART F07-03 age  "&amp;J344&amp;" "&amp;J345&amp;"",""),IF(K359&lt;&gt;K372,""&amp;CHAR(10)&amp;"  * Current on ART by month of dispense F07-16 for age "&amp;J344&amp;" "&amp;K345&amp;" is not equal to Clients current On ART F07-03 age  "&amp;J344&amp;" "&amp;K345&amp;"",""),IF(L359&lt;&gt;L372,""&amp;CHAR(10)&amp;"  * Current on ART by month of dispense F07-16 for age "&amp;L344&amp;" "&amp;L345&amp;" is not equal to Clients current On ART F07-03 age  "&amp;L344&amp;" "&amp;L345&amp;"",""),IF(M359&lt;&gt;M372,""&amp;CHAR(10)&amp;"  * Current on ART by month of dispense F07-16 for age "&amp;L344&amp;" "&amp;M345&amp;" is not equal to Clients current On ART F07-03 age  "&amp;L344&amp;" "&amp;M345&amp;"",""),IF(N359&lt;&gt;N372,""&amp;CHAR(10)&amp;"  * Current on ART by month of dispense F07-16 for age "&amp;N344&amp;" "&amp;N345&amp;" is not equal to Clients current On ART F07-03 age  "&amp;N344&amp;" "&amp;N345&amp;"",""),IF(O359&lt;&gt;O372,""&amp;CHAR(10)&amp;"  * Current on ART by month of dispense F07-16 for age "&amp;N344&amp;" "&amp;O345&amp;" is not equal to Clients current On ART F07-03 age  "&amp;N344&amp;" "&amp;O345&amp;"",""),IF(P359&lt;&gt;P372,""&amp;CHAR(10)&amp;"  * Current on ART by month of dispense F07-16 for age "&amp;P344&amp;" "&amp;P345&amp;" is not equal to Clients current On ART F07-03 age  "&amp;P344&amp;" "&amp;P345&amp;"",""),IF(Q359&lt;&gt;Q372,""&amp;CHAR(10)&amp;"  * Current on ART by month of dispense F07-16 for age "&amp;P344&amp;" "&amp;Q345&amp;" is not equal to Clients current On ART F07-03 age  "&amp;P344&amp;" "&amp;Q345&amp;"",""),IF(R359&lt;&gt;R372,""&amp;CHAR(10)&amp;"  * Current on ART by month of dispense F07-16 for age "&amp;R344&amp;" "&amp;R345&amp;" is not equal to Clients current On ART F07-03 age  "&amp;R344&amp;" "&amp;R345&amp;"",""),IF(S359&lt;&gt;S372,""&amp;CHAR(10)&amp;"  * Current on ART by month of dispense F07-16 for age "&amp;R344&amp;" "&amp;S345&amp;" is not equal to Clients current On ART F07-03 age  "&amp;R344&amp;" "&amp;S345&amp;"",""),IF(T359&lt;&gt;T372,""&amp;CHAR(10)&amp;"  * Current on ART by month of dispense F07-16 for age "&amp;T344&amp;" "&amp;T345&amp;" is not equal to Clients current On ART F07-03 age  "&amp;T344&amp;" "&amp;T345&amp;"",""),IF(U359&lt;&gt;U372,""&amp;CHAR(10)&amp;"  * Current on ART by month of dispense F07-16 for age "&amp;T344&amp;" "&amp;U345&amp;" is not equal to Clients current On ART F07-03 age  "&amp;T344&amp;" "&amp;U345&amp;"",""),IF(V359&lt;&gt;V372,""&amp;CHAR(10)&amp;"  * Current on ART by month of dispense F07-16 for age "&amp;V344&amp;" "&amp;V345&amp;" is not equal to Clients current On ART F07-03 age  "&amp;V344&amp;" "&amp;V345&amp;"",""),IF(W359&lt;&gt;W372,""&amp;CHAR(10)&amp;"  * Current on ART by month of dispense F07-16 for age "&amp;V344&amp;" "&amp;W345&amp;" is not equal to Clients current On ART F07-03 age  "&amp;V344&amp;" "&amp;W345&amp;"",""),IF(X359&lt;&gt;X372,""&amp;CHAR(10)&amp;"  * Current on ART by month of dispense F07-16 for age "&amp;X344&amp;" "&amp;X345&amp;" is not equal to Clients current On ART F07-03 age  "&amp;X344&amp;" "&amp;X345&amp;"",""),IF(Y359&lt;&gt;Y372,""&amp;CHAR(10)&amp;"  * Current on ART by month of dispense F07-16 for age "&amp;X344&amp;" "&amp;Y345&amp;" is not equal to Clients current On ART F07-03 age  "&amp;X344&amp;" "&amp;Y345&amp;"",""),IF(Z359&lt;&gt;Z372,""&amp;CHAR(10)&amp;"  * Current on ART by month of dispense F07-16 for age "&amp;Z344&amp;" "&amp;Z345&amp;" is not equal to Clients current On ART F07-03 age  "&amp;Z344&amp;" "&amp;Z345&amp;"",""),IF(AA359&lt;&gt;AA372,""&amp;CHAR(10)&amp;"  * Current on ART by month of dispense F07-16 for age "&amp;Z344&amp;" "&amp;AA345&amp;" is not equal to Clients current On ART F07-03 age  "&amp;Z344&amp;" "&amp;AA345&amp;"",""))</f>
        <v/>
      </c>
      <c r="AL359" s="1182"/>
      <c r="AM359" s="1014"/>
      <c r="AN359" s="1344"/>
      <c r="AO359" s="1015">
        <v>257</v>
      </c>
      <c r="AP359" s="81"/>
      <c r="AQ359" s="82"/>
    </row>
    <row r="360" spans="1:43" ht="26.25" x14ac:dyDescent="0.4">
      <c r="A360" s="1386" t="s">
        <v>414</v>
      </c>
      <c r="B360" s="244" t="s">
        <v>369</v>
      </c>
      <c r="C360" s="578" t="s">
        <v>383</v>
      </c>
      <c r="D360" s="531"/>
      <c r="E360" s="72"/>
      <c r="F360" s="72"/>
      <c r="G360" s="72"/>
      <c r="H360" s="72"/>
      <c r="I360" s="72"/>
      <c r="J360" s="72"/>
      <c r="K360" s="72"/>
      <c r="L360" s="72"/>
      <c r="M360" s="72"/>
      <c r="N360" s="72"/>
      <c r="O360" s="72"/>
      <c r="P360" s="72"/>
      <c r="Q360" s="72"/>
      <c r="R360" s="72"/>
      <c r="S360" s="72"/>
      <c r="T360" s="72"/>
      <c r="U360" s="72"/>
      <c r="V360" s="72"/>
      <c r="W360" s="72"/>
      <c r="X360" s="72"/>
      <c r="Y360" s="306"/>
      <c r="Z360" s="524">
        <f t="shared" ref="Z360:Z371" si="152">SUM(AB360,AD360,AF360,AH360)</f>
        <v>0</v>
      </c>
      <c r="AA360" s="524">
        <f t="shared" ref="AA360:AA371" si="153">SUM(AC360,AE360,AG360,AI360)</f>
        <v>0</v>
      </c>
      <c r="AB360" s="532"/>
      <c r="AC360" s="306"/>
      <c r="AD360" s="306"/>
      <c r="AE360" s="306"/>
      <c r="AF360" s="306"/>
      <c r="AG360" s="306"/>
      <c r="AH360" s="306"/>
      <c r="AI360" s="306"/>
      <c r="AJ360" s="66">
        <f t="shared" si="145"/>
        <v>0</v>
      </c>
      <c r="AK360" s="116"/>
      <c r="AL360" s="1182"/>
      <c r="AM360" s="31"/>
      <c r="AN360" s="1344"/>
      <c r="AO360" s="13">
        <v>258</v>
      </c>
      <c r="AP360" s="74"/>
      <c r="AQ360" s="75"/>
    </row>
    <row r="361" spans="1:43" ht="26.25" x14ac:dyDescent="0.4">
      <c r="A361" s="1387"/>
      <c r="B361" s="2" t="s">
        <v>364</v>
      </c>
      <c r="C361" s="559" t="s">
        <v>384</v>
      </c>
      <c r="D361" s="400"/>
      <c r="E361" s="79"/>
      <c r="F361" s="79"/>
      <c r="G361" s="79"/>
      <c r="H361" s="79"/>
      <c r="I361" s="79"/>
      <c r="J361" s="79"/>
      <c r="K361" s="79"/>
      <c r="L361" s="79"/>
      <c r="M361" s="79"/>
      <c r="N361" s="79"/>
      <c r="O361" s="79"/>
      <c r="P361" s="79"/>
      <c r="Q361" s="79"/>
      <c r="R361" s="79"/>
      <c r="S361" s="79"/>
      <c r="T361" s="79"/>
      <c r="U361" s="79"/>
      <c r="V361" s="79"/>
      <c r="W361" s="79"/>
      <c r="X361" s="79"/>
      <c r="Y361" s="307"/>
      <c r="Z361" s="489">
        <f t="shared" si="152"/>
        <v>0</v>
      </c>
      <c r="AA361" s="489">
        <f t="shared" si="153"/>
        <v>0</v>
      </c>
      <c r="AB361" s="349"/>
      <c r="AC361" s="307"/>
      <c r="AD361" s="307"/>
      <c r="AE361" s="307"/>
      <c r="AF361" s="307"/>
      <c r="AG361" s="307"/>
      <c r="AH361" s="307"/>
      <c r="AI361" s="307"/>
      <c r="AJ361" s="29">
        <f t="shared" si="145"/>
        <v>0</v>
      </c>
      <c r="AK361" s="116"/>
      <c r="AL361" s="1182"/>
      <c r="AM361" s="31"/>
      <c r="AN361" s="1344"/>
      <c r="AO361" s="13">
        <v>259</v>
      </c>
      <c r="AP361" s="74"/>
      <c r="AQ361" s="75"/>
    </row>
    <row r="362" spans="1:43" ht="26.25" x14ac:dyDescent="0.4">
      <c r="A362" s="1387"/>
      <c r="B362" s="2" t="s">
        <v>365</v>
      </c>
      <c r="C362" s="559" t="s">
        <v>385</v>
      </c>
      <c r="D362" s="400"/>
      <c r="E362" s="79"/>
      <c r="F362" s="79"/>
      <c r="G362" s="79"/>
      <c r="H362" s="79"/>
      <c r="I362" s="79"/>
      <c r="J362" s="79"/>
      <c r="K362" s="79"/>
      <c r="L362" s="79"/>
      <c r="M362" s="79"/>
      <c r="N362" s="79"/>
      <c r="O362" s="79"/>
      <c r="P362" s="79"/>
      <c r="Q362" s="79"/>
      <c r="R362" s="79"/>
      <c r="S362" s="79"/>
      <c r="T362" s="79"/>
      <c r="U362" s="79"/>
      <c r="V362" s="79"/>
      <c r="W362" s="79"/>
      <c r="X362" s="79"/>
      <c r="Y362" s="307"/>
      <c r="Z362" s="489">
        <f t="shared" si="152"/>
        <v>0</v>
      </c>
      <c r="AA362" s="489">
        <f t="shared" si="153"/>
        <v>0</v>
      </c>
      <c r="AB362" s="349"/>
      <c r="AC362" s="307"/>
      <c r="AD362" s="307"/>
      <c r="AE362" s="307"/>
      <c r="AF362" s="307"/>
      <c r="AG362" s="307"/>
      <c r="AH362" s="307"/>
      <c r="AI362" s="307"/>
      <c r="AJ362" s="29">
        <f t="shared" si="145"/>
        <v>0</v>
      </c>
      <c r="AK362" s="116"/>
      <c r="AL362" s="1182"/>
      <c r="AM362" s="31"/>
      <c r="AN362" s="1344"/>
      <c r="AO362" s="13">
        <v>260</v>
      </c>
      <c r="AP362" s="74"/>
      <c r="AQ362" s="75"/>
    </row>
    <row r="363" spans="1:43" ht="26.25" x14ac:dyDescent="0.4">
      <c r="A363" s="1387"/>
      <c r="B363" s="2" t="s">
        <v>366</v>
      </c>
      <c r="C363" s="559" t="s">
        <v>386</v>
      </c>
      <c r="D363" s="400"/>
      <c r="E363" s="79"/>
      <c r="F363" s="79"/>
      <c r="G363" s="79"/>
      <c r="H363" s="79"/>
      <c r="I363" s="79"/>
      <c r="J363" s="79"/>
      <c r="K363" s="79"/>
      <c r="L363" s="79"/>
      <c r="M363" s="79"/>
      <c r="N363" s="79"/>
      <c r="O363" s="79"/>
      <c r="P363" s="79"/>
      <c r="Q363" s="79"/>
      <c r="R363" s="79"/>
      <c r="S363" s="79"/>
      <c r="T363" s="79"/>
      <c r="U363" s="79"/>
      <c r="V363" s="79"/>
      <c r="W363" s="79"/>
      <c r="X363" s="79"/>
      <c r="Y363" s="307"/>
      <c r="Z363" s="489">
        <f t="shared" si="152"/>
        <v>0</v>
      </c>
      <c r="AA363" s="489">
        <f t="shared" si="153"/>
        <v>0</v>
      </c>
      <c r="AB363" s="349"/>
      <c r="AC363" s="307"/>
      <c r="AD363" s="307"/>
      <c r="AE363" s="307"/>
      <c r="AF363" s="307"/>
      <c r="AG363" s="307"/>
      <c r="AH363" s="307"/>
      <c r="AI363" s="307"/>
      <c r="AJ363" s="29">
        <f t="shared" si="145"/>
        <v>0</v>
      </c>
      <c r="AK363" s="116"/>
      <c r="AL363" s="1182"/>
      <c r="AM363" s="31"/>
      <c r="AN363" s="1344"/>
      <c r="AO363" s="13">
        <v>261</v>
      </c>
      <c r="AP363" s="74"/>
      <c r="AQ363" s="75"/>
    </row>
    <row r="364" spans="1:43" ht="26.25" x14ac:dyDescent="0.4">
      <c r="A364" s="1387"/>
      <c r="B364" s="2" t="s">
        <v>367</v>
      </c>
      <c r="C364" s="559" t="s">
        <v>387</v>
      </c>
      <c r="D364" s="400"/>
      <c r="E364" s="79"/>
      <c r="F364" s="79"/>
      <c r="G364" s="79"/>
      <c r="H364" s="79"/>
      <c r="I364" s="79"/>
      <c r="J364" s="79"/>
      <c r="K364" s="79"/>
      <c r="L364" s="79"/>
      <c r="M364" s="79"/>
      <c r="N364" s="79"/>
      <c r="O364" s="79"/>
      <c r="P364" s="79"/>
      <c r="Q364" s="79"/>
      <c r="R364" s="79"/>
      <c r="S364" s="79"/>
      <c r="T364" s="79"/>
      <c r="U364" s="79"/>
      <c r="V364" s="79"/>
      <c r="W364" s="79"/>
      <c r="X364" s="79"/>
      <c r="Y364" s="307"/>
      <c r="Z364" s="489">
        <f t="shared" si="152"/>
        <v>0</v>
      </c>
      <c r="AA364" s="489">
        <f t="shared" si="153"/>
        <v>0</v>
      </c>
      <c r="AB364" s="349"/>
      <c r="AC364" s="307"/>
      <c r="AD364" s="307"/>
      <c r="AE364" s="307"/>
      <c r="AF364" s="307"/>
      <c r="AG364" s="307"/>
      <c r="AH364" s="307"/>
      <c r="AI364" s="307"/>
      <c r="AJ364" s="29">
        <f t="shared" si="145"/>
        <v>0</v>
      </c>
      <c r="AK364" s="116"/>
      <c r="AL364" s="1182"/>
      <c r="AM364" s="31"/>
      <c r="AN364" s="1344"/>
      <c r="AO364" s="13">
        <v>262</v>
      </c>
      <c r="AP364" s="74"/>
      <c r="AQ364" s="75"/>
    </row>
    <row r="365" spans="1:43" ht="27" thickBot="1" x14ac:dyDescent="0.45">
      <c r="A365" s="1341"/>
      <c r="B365" s="3" t="s">
        <v>368</v>
      </c>
      <c r="C365" s="560" t="s">
        <v>388</v>
      </c>
      <c r="D365" s="401"/>
      <c r="E365" s="89"/>
      <c r="F365" s="89"/>
      <c r="G365" s="89"/>
      <c r="H365" s="89"/>
      <c r="I365" s="89"/>
      <c r="J365" s="89"/>
      <c r="K365" s="89"/>
      <c r="L365" s="89"/>
      <c r="M365" s="89"/>
      <c r="N365" s="89"/>
      <c r="O365" s="89"/>
      <c r="P365" s="89"/>
      <c r="Q365" s="89"/>
      <c r="R365" s="89"/>
      <c r="S365" s="89"/>
      <c r="T365" s="89"/>
      <c r="U365" s="89"/>
      <c r="V365" s="89"/>
      <c r="W365" s="89"/>
      <c r="X365" s="89"/>
      <c r="Y365" s="309"/>
      <c r="Z365" s="489">
        <f t="shared" si="152"/>
        <v>0</v>
      </c>
      <c r="AA365" s="489">
        <f t="shared" si="153"/>
        <v>0</v>
      </c>
      <c r="AB365" s="398"/>
      <c r="AC365" s="309"/>
      <c r="AD365" s="309"/>
      <c r="AE365" s="309"/>
      <c r="AF365" s="309"/>
      <c r="AG365" s="309"/>
      <c r="AH365" s="309"/>
      <c r="AI365" s="309"/>
      <c r="AJ365" s="90">
        <f t="shared" si="145"/>
        <v>0</v>
      </c>
      <c r="AK365" s="116"/>
      <c r="AL365" s="1182"/>
      <c r="AM365" s="31"/>
      <c r="AN365" s="1344"/>
      <c r="AO365" s="13">
        <v>263</v>
      </c>
      <c r="AP365" s="74"/>
      <c r="AQ365" s="75"/>
    </row>
    <row r="366" spans="1:43" ht="30.75" customHeight="1" x14ac:dyDescent="0.4">
      <c r="A366" s="1386" t="s">
        <v>415</v>
      </c>
      <c r="B366" s="1" t="s">
        <v>418</v>
      </c>
      <c r="C366" s="558" t="s">
        <v>394</v>
      </c>
      <c r="D366" s="399"/>
      <c r="E366" s="94"/>
      <c r="F366" s="94"/>
      <c r="G366" s="94"/>
      <c r="H366" s="94"/>
      <c r="I366" s="94"/>
      <c r="J366" s="94"/>
      <c r="K366" s="94"/>
      <c r="L366" s="94"/>
      <c r="M366" s="94"/>
      <c r="N366" s="94"/>
      <c r="O366" s="94"/>
      <c r="P366" s="94"/>
      <c r="Q366" s="94"/>
      <c r="R366" s="94"/>
      <c r="S366" s="94"/>
      <c r="T366" s="94"/>
      <c r="U366" s="94"/>
      <c r="V366" s="94"/>
      <c r="W366" s="94"/>
      <c r="X366" s="94"/>
      <c r="Y366" s="310"/>
      <c r="Z366" s="489">
        <f t="shared" si="152"/>
        <v>0</v>
      </c>
      <c r="AA366" s="489">
        <f t="shared" si="153"/>
        <v>0</v>
      </c>
      <c r="AB366" s="348"/>
      <c r="AC366" s="310"/>
      <c r="AD366" s="310"/>
      <c r="AE366" s="310"/>
      <c r="AF366" s="310"/>
      <c r="AG366" s="310"/>
      <c r="AH366" s="310"/>
      <c r="AI366" s="310"/>
      <c r="AJ366" s="65">
        <f t="shared" si="145"/>
        <v>0</v>
      </c>
      <c r="AK366" s="116"/>
      <c r="AL366" s="1182"/>
      <c r="AM366" s="31"/>
      <c r="AN366" s="1344"/>
      <c r="AO366" s="13">
        <v>264</v>
      </c>
      <c r="AP366" s="74"/>
      <c r="AQ366" s="75"/>
    </row>
    <row r="367" spans="1:43" ht="26.25" x14ac:dyDescent="0.4">
      <c r="A367" s="1387"/>
      <c r="B367" s="2" t="s">
        <v>389</v>
      </c>
      <c r="C367" s="559" t="s">
        <v>395</v>
      </c>
      <c r="D367" s="400"/>
      <c r="E367" s="79"/>
      <c r="F367" s="79"/>
      <c r="G367" s="79"/>
      <c r="H367" s="79"/>
      <c r="I367" s="79"/>
      <c r="J367" s="79"/>
      <c r="K367" s="79"/>
      <c r="L367" s="79"/>
      <c r="M367" s="79"/>
      <c r="N367" s="79"/>
      <c r="O367" s="79"/>
      <c r="P367" s="79"/>
      <c r="Q367" s="79"/>
      <c r="R367" s="79"/>
      <c r="S367" s="79"/>
      <c r="T367" s="79"/>
      <c r="U367" s="79"/>
      <c r="V367" s="79"/>
      <c r="W367" s="79"/>
      <c r="X367" s="79"/>
      <c r="Y367" s="307"/>
      <c r="Z367" s="489">
        <f t="shared" si="152"/>
        <v>0</v>
      </c>
      <c r="AA367" s="489">
        <f t="shared" si="153"/>
        <v>0</v>
      </c>
      <c r="AB367" s="349"/>
      <c r="AC367" s="307"/>
      <c r="AD367" s="307"/>
      <c r="AE367" s="307"/>
      <c r="AF367" s="307"/>
      <c r="AG367" s="307"/>
      <c r="AH367" s="307"/>
      <c r="AI367" s="307"/>
      <c r="AJ367" s="29">
        <f t="shared" si="145"/>
        <v>0</v>
      </c>
      <c r="AK367" s="116"/>
      <c r="AL367" s="1182"/>
      <c r="AM367" s="31"/>
      <c r="AN367" s="1344"/>
      <c r="AO367" s="13">
        <v>265</v>
      </c>
      <c r="AP367" s="74"/>
      <c r="AQ367" s="75"/>
    </row>
    <row r="368" spans="1:43" ht="26.25" x14ac:dyDescent="0.4">
      <c r="A368" s="1387"/>
      <c r="B368" s="2" t="s">
        <v>390</v>
      </c>
      <c r="C368" s="559" t="s">
        <v>396</v>
      </c>
      <c r="D368" s="400"/>
      <c r="E368" s="79"/>
      <c r="F368" s="79"/>
      <c r="G368" s="79"/>
      <c r="H368" s="79"/>
      <c r="I368" s="79"/>
      <c r="J368" s="79"/>
      <c r="K368" s="79"/>
      <c r="L368" s="79"/>
      <c r="M368" s="79"/>
      <c r="N368" s="79"/>
      <c r="O368" s="79"/>
      <c r="P368" s="79"/>
      <c r="Q368" s="79"/>
      <c r="R368" s="79"/>
      <c r="S368" s="79"/>
      <c r="T368" s="79"/>
      <c r="U368" s="79"/>
      <c r="V368" s="79"/>
      <c r="W368" s="79"/>
      <c r="X368" s="79"/>
      <c r="Y368" s="307"/>
      <c r="Z368" s="489">
        <f t="shared" si="152"/>
        <v>0</v>
      </c>
      <c r="AA368" s="489">
        <f t="shared" si="153"/>
        <v>0</v>
      </c>
      <c r="AB368" s="349"/>
      <c r="AC368" s="307"/>
      <c r="AD368" s="307"/>
      <c r="AE368" s="307"/>
      <c r="AF368" s="307"/>
      <c r="AG368" s="307"/>
      <c r="AH368" s="307"/>
      <c r="AI368" s="307"/>
      <c r="AJ368" s="29">
        <f t="shared" si="145"/>
        <v>0</v>
      </c>
      <c r="AK368" s="116"/>
      <c r="AL368" s="1182"/>
      <c r="AM368" s="31"/>
      <c r="AN368" s="1344"/>
      <c r="AO368" s="13">
        <v>266</v>
      </c>
      <c r="AP368" s="74"/>
      <c r="AQ368" s="75"/>
    </row>
    <row r="369" spans="1:43" ht="26.25" x14ac:dyDescent="0.4">
      <c r="A369" s="1387"/>
      <c r="B369" s="2" t="s">
        <v>391</v>
      </c>
      <c r="C369" s="559" t="s">
        <v>397</v>
      </c>
      <c r="D369" s="400"/>
      <c r="E369" s="79"/>
      <c r="F369" s="79"/>
      <c r="G369" s="79"/>
      <c r="H369" s="79"/>
      <c r="I369" s="79"/>
      <c r="J369" s="79"/>
      <c r="K369" s="79"/>
      <c r="L369" s="79"/>
      <c r="M369" s="79"/>
      <c r="N369" s="79"/>
      <c r="O369" s="79"/>
      <c r="P369" s="79"/>
      <c r="Q369" s="79"/>
      <c r="R369" s="79"/>
      <c r="S369" s="79"/>
      <c r="T369" s="79"/>
      <c r="U369" s="79"/>
      <c r="V369" s="79"/>
      <c r="W369" s="79"/>
      <c r="X369" s="79"/>
      <c r="Y369" s="307"/>
      <c r="Z369" s="489">
        <f t="shared" si="152"/>
        <v>0</v>
      </c>
      <c r="AA369" s="489">
        <f t="shared" si="153"/>
        <v>0</v>
      </c>
      <c r="AB369" s="349"/>
      <c r="AC369" s="307"/>
      <c r="AD369" s="307"/>
      <c r="AE369" s="307"/>
      <c r="AF369" s="307"/>
      <c r="AG369" s="307"/>
      <c r="AH369" s="307"/>
      <c r="AI369" s="307"/>
      <c r="AJ369" s="29">
        <f t="shared" si="145"/>
        <v>0</v>
      </c>
      <c r="AK369" s="116"/>
      <c r="AL369" s="1182"/>
      <c r="AM369" s="31"/>
      <c r="AN369" s="1344"/>
      <c r="AO369" s="13">
        <v>267</v>
      </c>
      <c r="AP369" s="74"/>
      <c r="AQ369" s="75"/>
    </row>
    <row r="370" spans="1:43" ht="26.25" x14ac:dyDescent="0.4">
      <c r="A370" s="1387"/>
      <c r="B370" s="2" t="s">
        <v>392</v>
      </c>
      <c r="C370" s="559" t="s">
        <v>398</v>
      </c>
      <c r="D370" s="400"/>
      <c r="E370" s="79"/>
      <c r="F370" s="79"/>
      <c r="G370" s="79"/>
      <c r="H370" s="79"/>
      <c r="I370" s="79"/>
      <c r="J370" s="79"/>
      <c r="K370" s="79"/>
      <c r="L370" s="79"/>
      <c r="M370" s="79"/>
      <c r="N370" s="79"/>
      <c r="O370" s="79"/>
      <c r="P370" s="79"/>
      <c r="Q370" s="79"/>
      <c r="R370" s="79"/>
      <c r="S370" s="79"/>
      <c r="T370" s="79"/>
      <c r="U370" s="79"/>
      <c r="V370" s="79"/>
      <c r="W370" s="79"/>
      <c r="X370" s="79"/>
      <c r="Y370" s="307"/>
      <c r="Z370" s="489">
        <f t="shared" si="152"/>
        <v>0</v>
      </c>
      <c r="AA370" s="489">
        <f t="shared" si="153"/>
        <v>0</v>
      </c>
      <c r="AB370" s="349"/>
      <c r="AC370" s="307"/>
      <c r="AD370" s="307"/>
      <c r="AE370" s="307"/>
      <c r="AF370" s="307"/>
      <c r="AG370" s="307"/>
      <c r="AH370" s="307"/>
      <c r="AI370" s="307"/>
      <c r="AJ370" s="29">
        <f t="shared" si="145"/>
        <v>0</v>
      </c>
      <c r="AK370" s="116"/>
      <c r="AL370" s="1182"/>
      <c r="AM370" s="31"/>
      <c r="AN370" s="1344"/>
      <c r="AO370" s="13">
        <v>268</v>
      </c>
      <c r="AP370" s="74"/>
      <c r="AQ370" s="75"/>
    </row>
    <row r="371" spans="1:43" ht="26.25" x14ac:dyDescent="0.4">
      <c r="A371" s="1387"/>
      <c r="B371" s="2" t="s">
        <v>393</v>
      </c>
      <c r="C371" s="559" t="s">
        <v>399</v>
      </c>
      <c r="D371" s="400"/>
      <c r="E371" s="79"/>
      <c r="F371" s="79"/>
      <c r="G371" s="79"/>
      <c r="H371" s="79"/>
      <c r="I371" s="79"/>
      <c r="J371" s="79"/>
      <c r="K371" s="79"/>
      <c r="L371" s="79"/>
      <c r="M371" s="79"/>
      <c r="N371" s="79"/>
      <c r="O371" s="79"/>
      <c r="P371" s="79"/>
      <c r="Q371" s="79"/>
      <c r="R371" s="79"/>
      <c r="S371" s="79"/>
      <c r="T371" s="79"/>
      <c r="U371" s="79"/>
      <c r="V371" s="79"/>
      <c r="W371" s="79"/>
      <c r="X371" s="79"/>
      <c r="Y371" s="307"/>
      <c r="Z371" s="489">
        <f t="shared" si="152"/>
        <v>0</v>
      </c>
      <c r="AA371" s="489">
        <f t="shared" si="153"/>
        <v>0</v>
      </c>
      <c r="AB371" s="349"/>
      <c r="AC371" s="307"/>
      <c r="AD371" s="307"/>
      <c r="AE371" s="307"/>
      <c r="AF371" s="307"/>
      <c r="AG371" s="307"/>
      <c r="AH371" s="307"/>
      <c r="AI371" s="307"/>
      <c r="AJ371" s="29">
        <f t="shared" si="145"/>
        <v>0</v>
      </c>
      <c r="AK371" s="116"/>
      <c r="AL371" s="1182"/>
      <c r="AM371" s="31"/>
      <c r="AN371" s="1344"/>
      <c r="AO371" s="13">
        <v>269</v>
      </c>
      <c r="AP371" s="74"/>
      <c r="AQ371" s="75"/>
    </row>
    <row r="372" spans="1:43" ht="27" thickBot="1" x14ac:dyDescent="0.45">
      <c r="A372" s="1387"/>
      <c r="B372" s="243" t="s">
        <v>413</v>
      </c>
      <c r="C372" s="560" t="s">
        <v>417</v>
      </c>
      <c r="D372" s="515">
        <f>SUM(D366:D371)</f>
        <v>0</v>
      </c>
      <c r="E372" s="516">
        <f t="shared" ref="E372:Y372" si="154">SUM(E366:E371)</f>
        <v>0</v>
      </c>
      <c r="F372" s="516">
        <f t="shared" si="154"/>
        <v>0</v>
      </c>
      <c r="G372" s="516">
        <f t="shared" si="154"/>
        <v>0</v>
      </c>
      <c r="H372" s="516">
        <f t="shared" si="154"/>
        <v>0</v>
      </c>
      <c r="I372" s="516">
        <f t="shared" si="154"/>
        <v>0</v>
      </c>
      <c r="J372" s="516">
        <f t="shared" si="154"/>
        <v>0</v>
      </c>
      <c r="K372" s="516">
        <f t="shared" si="154"/>
        <v>0</v>
      </c>
      <c r="L372" s="516">
        <f t="shared" si="154"/>
        <v>0</v>
      </c>
      <c r="M372" s="516">
        <f t="shared" si="154"/>
        <v>0</v>
      </c>
      <c r="N372" s="516">
        <f t="shared" si="154"/>
        <v>0</v>
      </c>
      <c r="O372" s="516">
        <f t="shared" si="154"/>
        <v>0</v>
      </c>
      <c r="P372" s="516">
        <f t="shared" si="154"/>
        <v>0</v>
      </c>
      <c r="Q372" s="516">
        <f t="shared" si="154"/>
        <v>0</v>
      </c>
      <c r="R372" s="516">
        <f t="shared" si="154"/>
        <v>0</v>
      </c>
      <c r="S372" s="516">
        <f t="shared" si="154"/>
        <v>0</v>
      </c>
      <c r="T372" s="516">
        <f t="shared" si="154"/>
        <v>0</v>
      </c>
      <c r="U372" s="516">
        <f t="shared" si="154"/>
        <v>0</v>
      </c>
      <c r="V372" s="516">
        <f t="shared" si="154"/>
        <v>0</v>
      </c>
      <c r="W372" s="516">
        <f t="shared" si="154"/>
        <v>0</v>
      </c>
      <c r="X372" s="516">
        <f t="shared" si="154"/>
        <v>0</v>
      </c>
      <c r="Y372" s="517">
        <f t="shared" si="154"/>
        <v>0</v>
      </c>
      <c r="Z372" s="518">
        <f t="shared" ref="Z372" si="155">SUM(AB372,AD372,AF372,AH372)</f>
        <v>0</v>
      </c>
      <c r="AA372" s="518">
        <f t="shared" ref="AA372" si="156">SUM(AC372,AE372,AG372,AI372)</f>
        <v>0</v>
      </c>
      <c r="AB372" s="519">
        <f t="shared" ref="AB372:AG372" si="157">SUM(AB366:AB371)</f>
        <v>0</v>
      </c>
      <c r="AC372" s="516">
        <f t="shared" si="157"/>
        <v>0</v>
      </c>
      <c r="AD372" s="516">
        <f t="shared" si="157"/>
        <v>0</v>
      </c>
      <c r="AE372" s="516">
        <f t="shared" si="157"/>
        <v>0</v>
      </c>
      <c r="AF372" s="516">
        <f t="shared" si="157"/>
        <v>0</v>
      </c>
      <c r="AG372" s="516">
        <f t="shared" si="157"/>
        <v>0</v>
      </c>
      <c r="AH372" s="516">
        <f t="shared" ref="AH372:AI372" si="158">SUM(AH366:AH371)</f>
        <v>0</v>
      </c>
      <c r="AI372" s="516">
        <f t="shared" si="158"/>
        <v>0</v>
      </c>
      <c r="AJ372" s="520">
        <f t="shared" si="145"/>
        <v>0</v>
      </c>
      <c r="AK372" s="116"/>
      <c r="AL372" s="1182"/>
      <c r="AM372" s="31"/>
      <c r="AN372" s="1344"/>
      <c r="AO372" s="13">
        <v>270</v>
      </c>
      <c r="AP372" s="74"/>
      <c r="AQ372" s="75"/>
    </row>
    <row r="373" spans="1:43" ht="27" thickBot="1" x14ac:dyDescent="0.45">
      <c r="A373" s="1341"/>
      <c r="B373" s="227" t="s">
        <v>435</v>
      </c>
      <c r="C373" s="579" t="s">
        <v>419</v>
      </c>
      <c r="D373" s="397"/>
      <c r="E373" s="229"/>
      <c r="F373" s="229"/>
      <c r="G373" s="229"/>
      <c r="H373" s="229"/>
      <c r="I373" s="229"/>
      <c r="J373" s="229"/>
      <c r="K373" s="229"/>
      <c r="L373" s="229"/>
      <c r="M373" s="229"/>
      <c r="N373" s="229"/>
      <c r="O373" s="229"/>
      <c r="P373" s="229"/>
      <c r="Q373" s="229"/>
      <c r="R373" s="229"/>
      <c r="S373" s="229"/>
      <c r="T373" s="229"/>
      <c r="U373" s="229"/>
      <c r="V373" s="229"/>
      <c r="W373" s="229"/>
      <c r="X373" s="229"/>
      <c r="Y373" s="521"/>
      <c r="Z373" s="522">
        <f t="shared" ref="Z373:Z383" si="159">SUM(AB373,AD373,AF373,AH373)</f>
        <v>0</v>
      </c>
      <c r="AA373" s="522">
        <f t="shared" ref="AA373:AA383" si="160">SUM(AC373,AE373,AG373,AI373)</f>
        <v>0</v>
      </c>
      <c r="AB373" s="347"/>
      <c r="AC373" s="521"/>
      <c r="AD373" s="521"/>
      <c r="AE373" s="521"/>
      <c r="AF373" s="521"/>
      <c r="AG373" s="521"/>
      <c r="AH373" s="521"/>
      <c r="AI373" s="521"/>
      <c r="AJ373" s="523">
        <f t="shared" si="145"/>
        <v>0</v>
      </c>
      <c r="AK373" s="116"/>
      <c r="AL373" s="1353"/>
      <c r="AM373" s="31"/>
      <c r="AN373" s="1345"/>
      <c r="AO373" s="13">
        <v>271</v>
      </c>
      <c r="AP373" s="74"/>
      <c r="AQ373" s="75"/>
    </row>
    <row r="374" spans="1:43" s="61" customFormat="1" ht="26.25" x14ac:dyDescent="0.4">
      <c r="A374" s="1388" t="s">
        <v>575</v>
      </c>
      <c r="B374" s="544" t="s">
        <v>914</v>
      </c>
      <c r="C374" s="558" t="s">
        <v>528</v>
      </c>
      <c r="D374" s="72"/>
      <c r="E374" s="72"/>
      <c r="F374" s="72"/>
      <c r="G374" s="72"/>
      <c r="H374" s="72"/>
      <c r="I374" s="72"/>
      <c r="J374" s="72"/>
      <c r="K374" s="72"/>
      <c r="L374" s="72"/>
      <c r="M374" s="72"/>
      <c r="N374" s="72"/>
      <c r="O374" s="72"/>
      <c r="P374" s="72"/>
      <c r="Q374" s="72"/>
      <c r="R374" s="72"/>
      <c r="S374" s="72"/>
      <c r="T374" s="72"/>
      <c r="U374" s="72"/>
      <c r="V374" s="72"/>
      <c r="W374" s="72"/>
      <c r="X374" s="72"/>
      <c r="Y374" s="72"/>
      <c r="Z374" s="489">
        <f t="shared" si="159"/>
        <v>0</v>
      </c>
      <c r="AA374" s="489">
        <f t="shared" si="160"/>
        <v>0</v>
      </c>
      <c r="AB374" s="72"/>
      <c r="AC374" s="72"/>
      <c r="AD374" s="72"/>
      <c r="AE374" s="72"/>
      <c r="AF374" s="72"/>
      <c r="AG374" s="72"/>
      <c r="AH374" s="72"/>
      <c r="AI374" s="72"/>
      <c r="AJ374" s="52">
        <f t="shared" si="145"/>
        <v>0</v>
      </c>
      <c r="AK374" s="30" t="str">
        <f>CONCATENATE(IF(D388&gt;D374," *  confirmed TB positive newly started on TB treatment "&amp;$D$20&amp;" "&amp;$D$21&amp;" is more than Screening positive for TB Newly enrolled on ART"&amp;CHAR(10),""),IF(E388&gt;E374," *  confirmed TB positive newly started on TB treatment "&amp;$D$20&amp;" "&amp;$E$21&amp;" is more than Screening positive for TB Newly enrolled on ART"&amp;CHAR(10),""),IF(F388&gt;F374," *  confirmed TB positive newly started on TB treatment "&amp;$F$20&amp;" "&amp;$F$21&amp;" is more than Screening positive for TB Newly enrolled on ART"&amp;CHAR(10),""),IF(G388&gt;G374," *  confirmed TB positive newly started on TB treatment "&amp;$F$20&amp;" "&amp;$G$21&amp;" is more than Screening positive for TB Newly enrolled on ART"&amp;CHAR(10),""),IF(H388&gt;H374," *  confirmed TB positive newly started on TB treatment "&amp;$H$20&amp;" "&amp;$H$21&amp;" is more than Screening positive for TB Newly enrolled on ART"&amp;CHAR(10),""),IF(I388&gt;I374," *  confirmed TB positive newly started on TB treatment "&amp;$H$20&amp;" "&amp;$I$21&amp;" is more than Screening positive for TB Newly enrolled on ART"&amp;CHAR(10),""),IF(J388&gt;J374," *  confirmed TB positive newly started on TB treatment "&amp;$J$20&amp;" "&amp;$J$21&amp;" is more than Screening positive for TB Newly enrolled on ART"&amp;CHAR(10),""),IF(K388&gt;K374," *  confirmed TB positive newly started on TB treatment "&amp;$J$20&amp;" "&amp;$K$21&amp;" is more than Screening positive for TB Newly enrolled on ART"&amp;CHAR(10),""),IF(L388&gt;L374," *  confirmed TB positive newly started on TB treatment "&amp;$L$20&amp;" "&amp;$L$21&amp;" is more than Screening positive for TB Newly enrolled on ART"&amp;CHAR(10),""),IF(M388&gt;M374," *  confirmed TB positive newly started on TB treatment "&amp;$L$20&amp;" "&amp;$M$21&amp;" is more than Screening positive for TB Newly enrolled on ART"&amp;CHAR(10),""),IF(N388&gt;N374," *  confirmed TB positive newly started on TB treatment "&amp;$N$20&amp;" "&amp;$N$21&amp;" is more than Screening positive for TB Newly enrolled on ART"&amp;CHAR(10),""),IF(O388&gt;O374," *  confirmed TB positive newly started on TB treatment "&amp;$N$20&amp;" "&amp;$O$21&amp;" is more than Screening positive for TB Newly enrolled on ART"&amp;CHAR(10),""),IF(P388&gt;P374," *  confirmed TB positive newly started on TB treatment "&amp;$P$20&amp;" "&amp;$P$21&amp;" is more than Screening positive for TB Newly enrolled on ART"&amp;CHAR(10),""),IF(Q388&gt;Q374," *  confirmed TB positive newly started on TB treatment "&amp;$P$20&amp;" "&amp;$Q$21&amp;" is more than Screening positive for TB Newly enrolled on ART"&amp;CHAR(10),""),IF(R388&gt;R374," *  confirmed TB positive newly started on TB treatment "&amp;$R$20&amp;" "&amp;$R$21&amp;" is more than Screening positive for TB Newly enrolled on ART"&amp;CHAR(10),""),IF(S388&gt;S374," *  confirmed TB positive newly started on TB treatment "&amp;$R$20&amp;" "&amp;$S$21&amp;" is more than Screening positive for TB Newly enrolled on ART"&amp;CHAR(10),""),IF(T388&gt;T374," *  confirmed TB positive newly started on TB treatment "&amp;$T$20&amp;" "&amp;$T$21&amp;" is more than Screening positive for TB Newly enrolled on ART"&amp;CHAR(10),""),IF(U388&gt;U374," *  confirmed TB positive newly started on TB treatment "&amp;$T$20&amp;" "&amp;$U$21&amp;" is more than Screening positive for TB Newly enrolled on ART"&amp;CHAR(10),""),IF(V388&gt;V374," *  confirmed TB positive newly started on TB treatment "&amp;$V$20&amp;" "&amp;$V$21&amp;" is more than Screening positive for TB Newly enrolled on ART"&amp;CHAR(10),""),IF(W388&gt;W374," *  confirmed TB positive newly started on TB treatment "&amp;$V$20&amp;" "&amp;$W$21&amp;" is more than Screening positive for TB Newly enrolled on ART"&amp;CHAR(10),""),IF(X388&gt;X374," *  confirmed TB positive newly started on TB treatment "&amp;$X$20&amp;" "&amp;$X$21&amp;" is more than Screening positive for TB Newly enrolled on ART"&amp;CHAR(10),""),IF(Y388&gt;Y374," *  confirmed TB positive newly started on TB treatment "&amp;$X$20&amp;" "&amp;$Y$21&amp;" is more than Screening positive for TB Newly enrolled on ART"&amp;CHAR(10),""),IF(Z388&gt;Z374," *  confirmed TB positive newly started on TB treatment "&amp;$Z$20&amp;" "&amp;$Z$21&amp;" is more than Screening positive for TB Newly enrolled on ART"&amp;CHAR(10),""),IF(AA388&gt;AA374," *  confirmed TB positive newly started on TB treatment "&amp;$Z$20&amp;" "&amp;$AA$21&amp;" is more than Screening positive for TB Newly enrolled on ART"&amp;CHAR(10),""))</f>
        <v/>
      </c>
      <c r="AL374" s="1181" t="str">
        <f>CONCATENATE(AK374,AK375,AK376,AK377,AK378,AK379,AK380,AK381,AK382,AK383,AK384,AK388,AK389,AK390)</f>
        <v/>
      </c>
      <c r="AM374" s="60" t="str">
        <f>CONCATENATE(IF(D388&lt;D374," *  confirmed TB positive newly started on TB treatment "&amp;$D$20&amp;" "&amp;$D$21&amp;" is less than Screening positive for TB Newly enrolled on ART"&amp;CHAR(10),""),IF(E388&lt;E374," *  confirmed TB positive newly started on TB treatment "&amp;$D$20&amp;" "&amp;$E$21&amp;" is less than Screening positive for TB Newly enrolled on ART"&amp;CHAR(10),""),IF(F388&lt;F374," *  confirmed TB positive newly started on TB treatment "&amp;$F$20&amp;" "&amp;$F$21&amp;" is less than Screening positive for TB Newly enrolled on ART"&amp;CHAR(10),""),IF(G388&lt;G374," *  confirmed TB positive newly started on TB treatment "&amp;$F$20&amp;" "&amp;$G$21&amp;" is less than Screening positive for TB Newly enrolled on ART"&amp;CHAR(10),""),IF(H388&lt;H374," *  confirmed TB positive newly started on TB treatment "&amp;$H$20&amp;" "&amp;$H$21&amp;" is less than Screening positive for TB Newly enrolled on ART"&amp;CHAR(10),""),IF(I388&lt;I374," *  confirmed TB positive newly started on TB treatment "&amp;$H$20&amp;" "&amp;$I$21&amp;" is less than Screening positive for TB Newly enrolled on ART"&amp;CHAR(10),""),IF(J388&lt;J374," *  confirmed TB positive newly started on TB treatment "&amp;$J$20&amp;" "&amp;$J$21&amp;" is less than Screening positive for TB Newly enrolled on ART"&amp;CHAR(10),""),IF(K388&lt;K374," *  confirmed TB positive newly started on TB treatment "&amp;$J$20&amp;" "&amp;$K$21&amp;" is less than Screening positive for TB Newly enrolled on ART"&amp;CHAR(10),""),IF(L388&lt;L374," *  confirmed TB positive newly started on TB treatment "&amp;$L$20&amp;" "&amp;$L$21&amp;" is less than Screening positive for TB Newly enrolled on ART"&amp;CHAR(10),""),IF(M388&lt;M374," *  confirmed TB positive newly started on TB treatment "&amp;$L$20&amp;" "&amp;$M$21&amp;" is less than Screening positive for TB Newly enrolled on ART"&amp;CHAR(10),""),IF(N388&lt;N374," *  confirmed TB positive newly started on TB treatment "&amp;$N$20&amp;" "&amp;$N$21&amp;" is less than Screening positive for TB Newly enrolled on ART"&amp;CHAR(10),""),IF(O388&lt;O374," *  confirmed TB positive newly started on TB treatment "&amp;$N$20&amp;" "&amp;$O$21&amp;" is less than Screening positive for TB Newly enrolled on ART"&amp;CHAR(10),""),IF(P388&lt;P374," *  confirmed TB positive newly started on TB treatment "&amp;$P$20&amp;" "&amp;$P$21&amp;" is less than Screening positive for TB Newly enrolled on ART"&amp;CHAR(10),""),IF(Q388&lt;Q374," *  confirmed TB positive newly started on TB treatment "&amp;$P$20&amp;" "&amp;$Q$21&amp;" is less than Screening positive for TB Newly enrolled on ART"&amp;CHAR(10),""),IF(R388&lt;R374," *  confirmed TB positive newly started on TB treatment "&amp;$R$20&amp;" "&amp;$R$21&amp;" is less than Screening positive for TB Newly enrolled on ART"&amp;CHAR(10),""),IF(S388&lt;S374," *  confirmed TB positive newly started on TB treatment "&amp;$R$20&amp;" "&amp;$S$21&amp;" is less than Screening positive for TB Newly enrolled on ART"&amp;CHAR(10),""),IF(T388&lt;T374," *  confirmed TB positive newly started on TB treatment "&amp;$T$20&amp;" "&amp;$T$21&amp;" is less than Screening positive for TB Newly enrolled on ART"&amp;CHAR(10),""),IF(U388&lt;U374," *  confirmed TB positive newly started on TB treatment "&amp;$T$20&amp;" "&amp;$U$21&amp;" is less than Screening positive for TB Newly enrolled on ART"&amp;CHAR(10),""),IF(V388&lt;V374," *  confirmed TB positive newly started on TB treatment "&amp;$V$20&amp;" "&amp;$V$21&amp;" is less than Screening positive for TB Newly enrolled on ART"&amp;CHAR(10),""),IF(W388&lt;W374," *  confirmed TB positive newly started on TB treatment "&amp;$V$20&amp;" "&amp;$W$21&amp;" is less than Screening positive for TB Newly enrolled on ART"&amp;CHAR(10),""),IF(X388&lt;X374," *  confirmed TB positive newly started on TB treatment "&amp;$X$20&amp;" "&amp;$X$21&amp;" is less than Screening positive for TB Newly enrolled on ART"&amp;CHAR(10),""),IF(Y388&lt;Y374," *  confirmed TB positive newly started on TB treatment "&amp;$X$20&amp;" "&amp;$Y$21&amp;" is less than Screening positive for TB Newly enrolled on ART"&amp;CHAR(10),""),IF(Z388&lt;Z374," *  confirmed TB positive newly started on TB treatment "&amp;$Z$20&amp;" "&amp;$Z$21&amp;" is less than Screening positive for TB Newly enrolled on ART"&amp;CHAR(10),""),IF(AA388&lt;AA374," *  confirmed TB positive newly started on TB treatment "&amp;$Z$20&amp;" "&amp;$AA$21&amp;" is less than Screening positive for TB Newly enrolled on ART"&amp;CHAR(10),""))</f>
        <v/>
      </c>
      <c r="AN374" s="1346" t="str">
        <f>CONCATENATE(AM374,AM375,AM376,AM377,AM378,AM379,AM380,AM381,AM382,AM383,AM384,AM388,AM389,AM390)</f>
        <v/>
      </c>
      <c r="AO374" s="13">
        <v>272</v>
      </c>
      <c r="AP374" s="80"/>
      <c r="AQ374" s="75"/>
    </row>
    <row r="375" spans="1:43" ht="26.25" x14ac:dyDescent="0.4">
      <c r="A375" s="1389"/>
      <c r="B375" s="543" t="s">
        <v>943</v>
      </c>
      <c r="C375" s="559" t="s">
        <v>529</v>
      </c>
      <c r="D375" s="79"/>
      <c r="E375" s="79"/>
      <c r="F375" s="79"/>
      <c r="G375" s="79"/>
      <c r="H375" s="79"/>
      <c r="I375" s="79"/>
      <c r="J375" s="79"/>
      <c r="K375" s="79"/>
      <c r="L375" s="79"/>
      <c r="M375" s="79"/>
      <c r="N375" s="79"/>
      <c r="O375" s="79"/>
      <c r="P375" s="79"/>
      <c r="Q375" s="79"/>
      <c r="R375" s="79"/>
      <c r="S375" s="79"/>
      <c r="T375" s="79"/>
      <c r="U375" s="79"/>
      <c r="V375" s="79"/>
      <c r="W375" s="79"/>
      <c r="X375" s="79"/>
      <c r="Y375" s="79"/>
      <c r="Z375" s="489">
        <f t="shared" si="159"/>
        <v>0</v>
      </c>
      <c r="AA375" s="489">
        <f t="shared" si="160"/>
        <v>0</v>
      </c>
      <c r="AB375" s="79"/>
      <c r="AC375" s="79"/>
      <c r="AD375" s="79"/>
      <c r="AE375" s="79"/>
      <c r="AF375" s="79"/>
      <c r="AG375" s="79"/>
      <c r="AH375" s="79"/>
      <c r="AI375" s="79"/>
      <c r="AJ375" s="173">
        <f t="shared" si="145"/>
        <v>0</v>
      </c>
      <c r="AK375" s="542" t="str">
        <f>CONCATENATE(IF(D389&gt;D375," *  Confirmed TB positive already on ART and on TB treatment "&amp;$D$20&amp;" "&amp;$D$21&amp;" is more than Screening positive for TB Previously enrolled on ART"&amp;CHAR(10),""),IF(E389&gt;E375," *  Confirmed TB positive already on ART and on TB treatment "&amp;$D$20&amp;" "&amp;$E$21&amp;" is more than Screening positive for TB Previously enrolled on ART"&amp;CHAR(10),""),IF(F389&gt;F375," *  Confirmed TB positive already on ART and on TB treatment "&amp;$F$20&amp;" "&amp;$F$21&amp;" is more than Screening positive for TB Previously enrolled on ART"&amp;CHAR(10),""),IF(G389&gt;G375," *  Confirmed TB positive already on ART and on TB treatment "&amp;$F$20&amp;" "&amp;$G$21&amp;" is more than Screening positive for TB Previously enrolled on ART"&amp;CHAR(10),""),IF(H389&gt;H375," *  Confirmed TB positive already on ART and on TB treatment "&amp;$H$20&amp;" "&amp;$H$21&amp;" is more than Screening positive for TB Previously enrolled on ART"&amp;CHAR(10),""),IF(I389&gt;I375," *  Confirmed TB positive already on ART and on TB treatment "&amp;$H$20&amp;" "&amp;$I$21&amp;" is more than Screening positive for TB Previously enrolled on ART"&amp;CHAR(10),""),IF(J389&gt;J375," *  Confirmed TB positive already on ART and on TB treatment "&amp;$J$20&amp;" "&amp;$J$21&amp;" is more than Screening positive for TB Previously enrolled on ART"&amp;CHAR(10),""),IF(K389&gt;K375," *  Confirmed TB positive already on ART and on TB treatment "&amp;$J$20&amp;" "&amp;$K$21&amp;" is more than Screening positive for TB Previously enrolled on ART"&amp;CHAR(10),""),IF(L389&gt;L375," *  Confirmed TB positive already on ART and on TB treatment "&amp;$L$20&amp;" "&amp;$L$21&amp;" is more than Screening positive for TB Previously enrolled on ART"&amp;CHAR(10),""),IF(M389&gt;M375," *  Confirmed TB positive already on ART and on TB treatment "&amp;$L$20&amp;" "&amp;$M$21&amp;" is more than Screening positive for TB Previously enrolled on ART"&amp;CHAR(10),""),IF(N389&gt;N375," *  Confirmed TB positive already on ART and on TB treatment "&amp;$N$20&amp;" "&amp;$N$21&amp;" is more than Screening positive for TB Previously enrolled on ART"&amp;CHAR(10),""),IF(O389&gt;O375," *  Confirmed TB positive already on ART and on TB treatment "&amp;$N$20&amp;" "&amp;$O$21&amp;" is more than Screening positive for TB Previously enrolled on ART"&amp;CHAR(10),""),IF(P389&gt;P375," *  Confirmed TB positive already on ART and on TB treatment "&amp;$P$20&amp;" "&amp;$P$21&amp;" is more than Screening positive for TB Previously enrolled on ART"&amp;CHAR(10),""),IF(Q389&gt;Q375," *  Confirmed TB positive already on ART and on TB treatment "&amp;$P$20&amp;" "&amp;$Q$21&amp;" is more than Screening positive for TB Previously enrolled on ART"&amp;CHAR(10),""),IF(R389&gt;R375," *  Confirmed TB positive already on ART and on TB treatment "&amp;$R$20&amp;" "&amp;$R$21&amp;" is more than Screening positive for TB Previously enrolled on ART"&amp;CHAR(10),""),IF(S389&gt;S375," *  Confirmed TB positive already on ART and on TB treatment "&amp;$R$20&amp;" "&amp;$S$21&amp;" is more than Screening positive for TB Previously enrolled on ART"&amp;CHAR(10),""),IF(T389&gt;T375," *  Confirmed TB positive already on ART and on TB treatment "&amp;$T$20&amp;" "&amp;$T$21&amp;" is more than Screening positive for TB Previously enrolled on ART"&amp;CHAR(10),""),IF(U389&gt;U375," *  Confirmed TB positive already on ART and on TB treatment "&amp;$T$20&amp;" "&amp;$U$21&amp;" is more than Screening positive for TB Previously enrolled on ART"&amp;CHAR(10),""),IF(V389&gt;V375," *  Confirmed TB positive already on ART and on TB treatment "&amp;$V$20&amp;" "&amp;$V$21&amp;" is more than Screening positive for TB Previously enrolled on ART"&amp;CHAR(10),""),IF(W389&gt;W375," *  Confirmed TB positive already on ART and on TB treatment "&amp;$V$20&amp;" "&amp;$W$21&amp;" is more than Screening positive for TB Previously enrolled on ART"&amp;CHAR(10),""),IF(X389&gt;X375," *  Confirmed TB positive already on ART and on TB treatment "&amp;$X$20&amp;" "&amp;$X$21&amp;" is more than Screening positive for TB Previously enrolled on ART"&amp;CHAR(10),""),IF(Y389&gt;Y375," *  Confirmed TB positive already on ART and on TB treatment "&amp;$X$20&amp;" "&amp;$Y$21&amp;" is more than Screening positive for TB Previously enrolled on ART"&amp;CHAR(10),""),IF(Z389&gt;Z375," *  Confirmed TB positive already on ART and on TB treatment "&amp;$Z$20&amp;" "&amp;$Z$21&amp;" is more than Screening positive for TB Previously enrolled on ART"&amp;CHAR(10),""),IF(AA389&gt;AA375," *  Confirmed TB positive already on ART and on TB treatment "&amp;$Z$20&amp;" "&amp;$AA$21&amp;" is more than Screening positive for TB Previously enrolled on ART"&amp;CHAR(10),""))</f>
        <v/>
      </c>
      <c r="AL375" s="1182"/>
      <c r="AM375" s="31" t="str">
        <f>CONCATENATE(IF(D389&lt;D375," *  Confirmed TB positive already on ART and on TB treatment "&amp;$D$20&amp;" "&amp;$D$21&amp;" is less than Screening positive for TB Previously enrolled on ART"&amp;CHAR(10),""),IF(E389&lt;E375," *  Confirmed TB positive already on ART and on TB treatment "&amp;$D$20&amp;" "&amp;$E$21&amp;" is less than Screening positive for TB Previously enrolled on ART"&amp;CHAR(10),""),IF(F389&lt;F375," *  Confirmed TB positive already on ART and on TB treatment "&amp;$F$20&amp;" "&amp;$F$21&amp;" is less than Screening positive for TB Previously enrolled on ART"&amp;CHAR(10),""),IF(G389&lt;G375," *  Confirmed TB positive already on ART and on TB treatment "&amp;$F$20&amp;" "&amp;$G$21&amp;" is less than Screening positive for TB Previously enrolled on ART"&amp;CHAR(10),""),IF(H389&lt;H375," *  Confirmed TB positive already on ART and on TB treatment "&amp;$H$20&amp;" "&amp;$H$21&amp;" is less than Screening positive for TB Previously enrolled on ART"&amp;CHAR(10),""),IF(I389&lt;I375," *  Confirmed TB positive already on ART and on TB treatment "&amp;$H$20&amp;" "&amp;$I$21&amp;" is less than Screening positive for TB Previously enrolled on ART"&amp;CHAR(10),""),IF(J389&lt;J375," *  Confirmed TB positive already on ART and on TB treatment "&amp;$J$20&amp;" "&amp;$J$21&amp;" is less than Screening positive for TB Previously enrolled on ART"&amp;CHAR(10),""),IF(K389&lt;K375," *  Confirmed TB positive already on ART and on TB treatment "&amp;$J$20&amp;" "&amp;$K$21&amp;" is less than Screening positive for TB Previously enrolled on ART"&amp;CHAR(10),""),IF(L389&lt;L375," *  Confirmed TB positive already on ART and on TB treatment "&amp;$L$20&amp;" "&amp;$L$21&amp;" is less than Screening positive for TB Previously enrolled on ART"&amp;CHAR(10),""),IF(M389&lt;M375," *  Confirmed TB positive already on ART and on TB treatment "&amp;$L$20&amp;" "&amp;$M$21&amp;" is less than Screening positive for TB Previously enrolled on ART"&amp;CHAR(10),""),IF(N389&lt;N375," *  Confirmed TB positive already on ART and on TB treatment "&amp;$N$20&amp;" "&amp;$N$21&amp;" is less than Screening positive for TB Previously enrolled on ART"&amp;CHAR(10),""),IF(O389&lt;O375," *  Confirmed TB positive already on ART and on TB treatment "&amp;$N$20&amp;" "&amp;$O$21&amp;" is less than Screening positive for TB Previously enrolled on ART"&amp;CHAR(10),""),IF(P389&lt;P375," *  Confirmed TB positive already on ART and on TB treatment "&amp;$P$20&amp;" "&amp;$P$21&amp;" is less than Screening positive for TB Previously enrolled on ART"&amp;CHAR(10),""),IF(Q389&lt;Q375," *  Confirmed TB positive already on ART and on TB treatment "&amp;$P$20&amp;" "&amp;$Q$21&amp;" is less than Screening positive for TB Previously enrolled on ART"&amp;CHAR(10),""),IF(R389&lt;R375," *  Confirmed TB positive already on ART and on TB treatment "&amp;$R$20&amp;" "&amp;$R$21&amp;" is less than Screening positive for TB Previously enrolled on ART"&amp;CHAR(10),""),IF(S389&lt;S375," *  Confirmed TB positive already on ART and on TB treatment "&amp;$R$20&amp;" "&amp;$S$21&amp;" is less than Screening positive for TB Previously enrolled on ART"&amp;CHAR(10),""),IF(T389&lt;T375," *  Confirmed TB positive already on ART and on TB treatment "&amp;$T$20&amp;" "&amp;$T$21&amp;" is less than Screening positive for TB Previously enrolled on ART"&amp;CHAR(10),""),IF(U389&lt;U375," *  Confirmed TB positive already on ART and on TB treatment "&amp;$T$20&amp;" "&amp;$U$21&amp;" is less than Screening positive for TB Previously enrolled on ART"&amp;CHAR(10),""),IF(V389&lt;V375," *  Confirmed TB positive already on ART and on TB treatment "&amp;$V$20&amp;" "&amp;$V$21&amp;" is less than Screening positive for TB Previously enrolled on ART"&amp;CHAR(10),""),IF(W389&lt;W375," *  Confirmed TB positive already on ART and on TB treatment "&amp;$V$20&amp;" "&amp;$W$21&amp;" is less than Screening positive for TB Previously enrolled on ART"&amp;CHAR(10),""),IF(X389&lt;X375," *  Confirmed TB positive already on ART and on TB treatment "&amp;$X$20&amp;" "&amp;$X$21&amp;" is less than Screening positive for TB Previously enrolled on ART"&amp;CHAR(10),""),IF(Y389&lt;Y375," *  Confirmed TB positive already on ART and on TB treatment "&amp;$X$20&amp;" "&amp;$Y$21&amp;" is less than Screening positive for TB Previously enrolled on ART"&amp;CHAR(10),""),IF(Z389&lt;Z375," *  Confirmed TB positive already on ART and on TB treatment "&amp;$Z$20&amp;" "&amp;$Z$21&amp;" is less than Screening positive for TB Previously enrolled on ART"&amp;CHAR(10),""),IF(AA389&lt;AA375," *  Confirmed TB positive already on ART and on TB treatment "&amp;$Z$20&amp;" "&amp;$AA$21&amp;" is less than Screening positive for TB Previously enrolled on ART"&amp;CHAR(10),""))</f>
        <v/>
      </c>
      <c r="AN375" s="1344"/>
      <c r="AO375" s="13">
        <v>273</v>
      </c>
      <c r="AP375" s="74"/>
      <c r="AQ375" s="75"/>
    </row>
    <row r="376" spans="1:43" ht="27" thickBot="1" x14ac:dyDescent="0.45">
      <c r="A376" s="1389"/>
      <c r="B376" s="243" t="s">
        <v>785</v>
      </c>
      <c r="C376" s="560" t="s">
        <v>527</v>
      </c>
      <c r="D376" s="242">
        <f t="shared" ref="D376:Y376" si="161">D374+D375</f>
        <v>0</v>
      </c>
      <c r="E376" s="242">
        <f t="shared" si="161"/>
        <v>0</v>
      </c>
      <c r="F376" s="242">
        <f t="shared" si="161"/>
        <v>0</v>
      </c>
      <c r="G376" s="242">
        <f t="shared" si="161"/>
        <v>0</v>
      </c>
      <c r="H376" s="242">
        <f t="shared" si="161"/>
        <v>0</v>
      </c>
      <c r="I376" s="242">
        <f t="shared" si="161"/>
        <v>0</v>
      </c>
      <c r="J376" s="242">
        <f t="shared" si="161"/>
        <v>0</v>
      </c>
      <c r="K376" s="242">
        <f t="shared" si="161"/>
        <v>0</v>
      </c>
      <c r="L376" s="242">
        <f t="shared" si="161"/>
        <v>0</v>
      </c>
      <c r="M376" s="242">
        <f t="shared" si="161"/>
        <v>0</v>
      </c>
      <c r="N376" s="242">
        <f t="shared" si="161"/>
        <v>0</v>
      </c>
      <c r="O376" s="242">
        <f t="shared" si="161"/>
        <v>0</v>
      </c>
      <c r="P376" s="242">
        <f t="shared" si="161"/>
        <v>0</v>
      </c>
      <c r="Q376" s="242">
        <f t="shared" si="161"/>
        <v>0</v>
      </c>
      <c r="R376" s="242">
        <f t="shared" si="161"/>
        <v>0</v>
      </c>
      <c r="S376" s="242">
        <f t="shared" si="161"/>
        <v>0</v>
      </c>
      <c r="T376" s="242">
        <f t="shared" si="161"/>
        <v>0</v>
      </c>
      <c r="U376" s="242">
        <f t="shared" si="161"/>
        <v>0</v>
      </c>
      <c r="V376" s="242">
        <f t="shared" si="161"/>
        <v>0</v>
      </c>
      <c r="W376" s="242">
        <f t="shared" si="161"/>
        <v>0</v>
      </c>
      <c r="X376" s="242">
        <f t="shared" si="161"/>
        <v>0</v>
      </c>
      <c r="Y376" s="242">
        <f t="shared" si="161"/>
        <v>0</v>
      </c>
      <c r="Z376" s="489">
        <f t="shared" si="159"/>
        <v>0</v>
      </c>
      <c r="AA376" s="489">
        <f t="shared" si="160"/>
        <v>0</v>
      </c>
      <c r="AB376" s="242">
        <f t="shared" ref="AB376:AI376" si="162">AB374+AB375</f>
        <v>0</v>
      </c>
      <c r="AC376" s="242">
        <f t="shared" si="162"/>
        <v>0</v>
      </c>
      <c r="AD376" s="242">
        <f t="shared" si="162"/>
        <v>0</v>
      </c>
      <c r="AE376" s="242">
        <f t="shared" si="162"/>
        <v>0</v>
      </c>
      <c r="AF376" s="242">
        <f t="shared" si="162"/>
        <v>0</v>
      </c>
      <c r="AG376" s="242">
        <f t="shared" si="162"/>
        <v>0</v>
      </c>
      <c r="AH376" s="242">
        <f t="shared" si="162"/>
        <v>0</v>
      </c>
      <c r="AI376" s="242">
        <f t="shared" si="162"/>
        <v>0</v>
      </c>
      <c r="AJ376" s="192">
        <f t="shared" si="145"/>
        <v>0</v>
      </c>
      <c r="AK376" s="116"/>
      <c r="AL376" s="1182"/>
      <c r="AM376" s="31"/>
      <c r="AN376" s="1344"/>
      <c r="AO376" s="13">
        <v>274</v>
      </c>
      <c r="AP376" s="74"/>
      <c r="AQ376" s="75"/>
    </row>
    <row r="377" spans="1:43" ht="26.25" x14ac:dyDescent="0.4">
      <c r="A377" s="1389"/>
      <c r="B377" s="244" t="s">
        <v>570</v>
      </c>
      <c r="C377" s="578" t="s">
        <v>530</v>
      </c>
      <c r="D377" s="138"/>
      <c r="E377" s="72"/>
      <c r="F377" s="72"/>
      <c r="G377" s="72"/>
      <c r="H377" s="72"/>
      <c r="I377" s="72"/>
      <c r="J377" s="72"/>
      <c r="K377" s="72"/>
      <c r="L377" s="72"/>
      <c r="M377" s="72"/>
      <c r="N377" s="72"/>
      <c r="O377" s="72"/>
      <c r="P377" s="72"/>
      <c r="Q377" s="72"/>
      <c r="R377" s="72"/>
      <c r="S377" s="72"/>
      <c r="T377" s="72"/>
      <c r="U377" s="72"/>
      <c r="V377" s="72"/>
      <c r="W377" s="72"/>
      <c r="X377" s="72"/>
      <c r="Y377" s="72"/>
      <c r="Z377" s="489">
        <f t="shared" si="159"/>
        <v>0</v>
      </c>
      <c r="AA377" s="489">
        <f t="shared" si="160"/>
        <v>0</v>
      </c>
      <c r="AB377" s="72"/>
      <c r="AC377" s="72"/>
      <c r="AD377" s="72"/>
      <c r="AE377" s="72"/>
      <c r="AF377" s="72"/>
      <c r="AG377" s="72"/>
      <c r="AH377" s="72"/>
      <c r="AI377" s="72"/>
      <c r="AJ377" s="52">
        <f t="shared" si="145"/>
        <v>0</v>
      </c>
      <c r="AK377" s="116"/>
      <c r="AL377" s="1182"/>
      <c r="AM377" s="31"/>
      <c r="AN377" s="1344"/>
      <c r="AO377" s="13">
        <v>275</v>
      </c>
      <c r="AP377" s="74"/>
      <c r="AQ377" s="75"/>
    </row>
    <row r="378" spans="1:43" ht="26.25" x14ac:dyDescent="0.4">
      <c r="A378" s="1389"/>
      <c r="B378" s="2" t="s">
        <v>571</v>
      </c>
      <c r="C378" s="559" t="s">
        <v>564</v>
      </c>
      <c r="D378" s="237"/>
      <c r="E378" s="79"/>
      <c r="F378" s="79"/>
      <c r="G378" s="79"/>
      <c r="H378" s="79"/>
      <c r="I378" s="79"/>
      <c r="J378" s="79"/>
      <c r="K378" s="79"/>
      <c r="L378" s="79"/>
      <c r="M378" s="79"/>
      <c r="N378" s="79"/>
      <c r="O378" s="79"/>
      <c r="P378" s="79"/>
      <c r="Q378" s="79"/>
      <c r="R378" s="79"/>
      <c r="S378" s="79"/>
      <c r="T378" s="79"/>
      <c r="U378" s="79"/>
      <c r="V378" s="79"/>
      <c r="W378" s="79"/>
      <c r="X378" s="79"/>
      <c r="Y378" s="79"/>
      <c r="Z378" s="489">
        <f t="shared" si="159"/>
        <v>0</v>
      </c>
      <c r="AA378" s="489">
        <f t="shared" si="160"/>
        <v>0</v>
      </c>
      <c r="AB378" s="79"/>
      <c r="AC378" s="79"/>
      <c r="AD378" s="79"/>
      <c r="AE378" s="79"/>
      <c r="AF378" s="79"/>
      <c r="AG378" s="79"/>
      <c r="AH378" s="79"/>
      <c r="AI378" s="79"/>
      <c r="AJ378" s="173">
        <f t="shared" si="145"/>
        <v>0</v>
      </c>
      <c r="AK378" s="116" t="str">
        <f>IF(AJ359&gt;0,IF(AJ379&lt;1," No Patient was screened for TB",""),"")</f>
        <v/>
      </c>
      <c r="AL378" s="1182"/>
      <c r="AM378" s="31"/>
      <c r="AN378" s="1344"/>
      <c r="AO378" s="13">
        <v>276</v>
      </c>
      <c r="AP378" s="74"/>
      <c r="AQ378" s="75"/>
    </row>
    <row r="379" spans="1:43" ht="27" thickBot="1" x14ac:dyDescent="0.45">
      <c r="A379" s="1389"/>
      <c r="B379" s="243" t="s">
        <v>786</v>
      </c>
      <c r="C379" s="560" t="s">
        <v>281</v>
      </c>
      <c r="D379" s="245">
        <f>SUM(D378,D377,D376)</f>
        <v>0</v>
      </c>
      <c r="E379" s="245">
        <f t="shared" ref="E379:Y379" si="163">SUM(E378,E377,E376)</f>
        <v>0</v>
      </c>
      <c r="F379" s="245">
        <f t="shared" si="163"/>
        <v>0</v>
      </c>
      <c r="G379" s="245">
        <f t="shared" si="163"/>
        <v>0</v>
      </c>
      <c r="H379" s="245">
        <f t="shared" si="163"/>
        <v>0</v>
      </c>
      <c r="I379" s="245">
        <f t="shared" si="163"/>
        <v>0</v>
      </c>
      <c r="J379" s="245">
        <f t="shared" si="163"/>
        <v>0</v>
      </c>
      <c r="K379" s="245">
        <f t="shared" si="163"/>
        <v>0</v>
      </c>
      <c r="L379" s="245">
        <f t="shared" si="163"/>
        <v>0</v>
      </c>
      <c r="M379" s="245">
        <f t="shared" si="163"/>
        <v>0</v>
      </c>
      <c r="N379" s="245">
        <f t="shared" si="163"/>
        <v>0</v>
      </c>
      <c r="O379" s="245">
        <f t="shared" si="163"/>
        <v>0</v>
      </c>
      <c r="P379" s="245">
        <f t="shared" si="163"/>
        <v>0</v>
      </c>
      <c r="Q379" s="245">
        <f t="shared" si="163"/>
        <v>0</v>
      </c>
      <c r="R379" s="245">
        <f t="shared" si="163"/>
        <v>0</v>
      </c>
      <c r="S379" s="245">
        <f t="shared" si="163"/>
        <v>0</v>
      </c>
      <c r="T379" s="245">
        <f t="shared" si="163"/>
        <v>0</v>
      </c>
      <c r="U379" s="245">
        <f t="shared" si="163"/>
        <v>0</v>
      </c>
      <c r="V379" s="245">
        <f t="shared" si="163"/>
        <v>0</v>
      </c>
      <c r="W379" s="245">
        <f t="shared" si="163"/>
        <v>0</v>
      </c>
      <c r="X379" s="245">
        <f t="shared" si="163"/>
        <v>0</v>
      </c>
      <c r="Y379" s="245">
        <f t="shared" si="163"/>
        <v>0</v>
      </c>
      <c r="Z379" s="245">
        <f t="shared" ref="Z379" si="164">SUM(Z378,Z377,Z376)</f>
        <v>0</v>
      </c>
      <c r="AA379" s="245">
        <f t="shared" ref="AA379" si="165">SUM(AA378,AA377,AA376)</f>
        <v>0</v>
      </c>
      <c r="AB379" s="245">
        <f t="shared" ref="AB379" si="166">SUM(AB378,AB377,AB376)</f>
        <v>0</v>
      </c>
      <c r="AC379" s="245">
        <f t="shared" ref="AC379" si="167">SUM(AC378,AC377,AC376)</f>
        <v>0</v>
      </c>
      <c r="AD379" s="245">
        <f t="shared" ref="AD379" si="168">SUM(AD378,AD377,AD376)</f>
        <v>0</v>
      </c>
      <c r="AE379" s="245">
        <f t="shared" ref="AE379" si="169">SUM(AE378,AE377,AE376)</f>
        <v>0</v>
      </c>
      <c r="AF379" s="245">
        <f t="shared" ref="AF379" si="170">SUM(AF378,AF377,AF376)</f>
        <v>0</v>
      </c>
      <c r="AG379" s="245">
        <f t="shared" ref="AG379" si="171">SUM(AG378,AG377,AG376)</f>
        <v>0</v>
      </c>
      <c r="AH379" s="245">
        <f t="shared" ref="AH379" si="172">SUM(AH378,AH377,AH376)</f>
        <v>0</v>
      </c>
      <c r="AI379" s="245">
        <f t="shared" ref="AI379" si="173">SUM(AI378,AI377,AI376)</f>
        <v>0</v>
      </c>
      <c r="AJ379" s="192">
        <f t="shared" si="145"/>
        <v>0</v>
      </c>
      <c r="AK379" s="116" t="str">
        <f>CONCATENATE(IF(D379&gt;D359," * Total Screened For TB  for Age "&amp;D20&amp;" "&amp;D21&amp;" is more than Current On ART "&amp;CHAR(10),""),IF(E379&gt;E359," * Total Screened For TB  for Age "&amp;D20&amp;" "&amp;E21&amp;" is more than Current On ART "&amp;CHAR(10),""),IF(F379&gt;F359," * Total Screened For TB  for Age "&amp;F20&amp;" "&amp;F21&amp;" is more than Current On ART "&amp;CHAR(10),""),IF(G379&gt;G359," * Total Screened For TB  for Age "&amp;F20&amp;" "&amp;G21&amp;" is more than Current On ART "&amp;CHAR(10),""),IF(H379&gt;H359," * Total Screened For TB  for Age "&amp;H20&amp;" "&amp;H21&amp;" is more than Current On ART "&amp;CHAR(10),""),IF(I379&gt;I359," * Total Screened For TB  for Age "&amp;H20&amp;" "&amp;I21&amp;" is more than Current On ART "&amp;CHAR(10),""),IF(J379&gt;J359," * Total Screened For TB  for Age "&amp;J20&amp;" "&amp;J21&amp;" is more than Current On ART "&amp;CHAR(10),""),IF(K379&gt;K359," * Total Screened For TB  for Age "&amp;J20&amp;" "&amp;K21&amp;" is more than Current On ART "&amp;CHAR(10),""),IF(L379&gt;L359," * Total Screened For TB  for Age "&amp;L20&amp;" "&amp;L21&amp;" is more than Current On ART "&amp;CHAR(10),""),IF(M379&gt;M359," * Total Screened For TB  for Age "&amp;L20&amp;" "&amp;M21&amp;" is more than Current On ART "&amp;CHAR(10),""),IF(N379&gt;N359," * Total Screened For TB  for Age "&amp;N20&amp;" "&amp;N21&amp;" is more than Current On ART "&amp;CHAR(10),""),IF(O379&gt;O359," * Total Screened For TB  for Age "&amp;N20&amp;" "&amp;O21&amp;" is more than Current On ART "&amp;CHAR(10),""),IF(P379&gt;P359," * Total Screened For TB  for Age "&amp;P20&amp;" "&amp;P21&amp;" is more than Current On ART "&amp;CHAR(10),""),IF(Q379&gt;Q359," * Total Screened For TB  for Age "&amp;P20&amp;" "&amp;Q21&amp;" is more than Current On ART "&amp;CHAR(10),""),IF(R379&gt;R359," * Total Screened For TB  for Age "&amp;R20&amp;" "&amp;R21&amp;" is more than Current On ART "&amp;CHAR(10),""),IF(S379&gt;S359," * Total Screened For TB  for Age "&amp;R20&amp;" "&amp;S21&amp;" is more than Current On ART "&amp;CHAR(10),""),IF(T379&gt;T359," * Total Screened For TB  for Age "&amp;T20&amp;" "&amp;T21&amp;" is more than Current On ART "&amp;CHAR(10),""),IF(U379&gt;U359," * Total Screened For TB  for Age "&amp;T20&amp;" "&amp;U21&amp;" is more than Current On ART "&amp;CHAR(10),""),IF(V379&gt;V359," * Total Screened For TB  for Age "&amp;V20&amp;" "&amp;V21&amp;" is more than Current On ART "&amp;CHAR(10),""),IF(W379&gt;W359," * Total Screened For TB  for Age "&amp;V20&amp;" "&amp;W21&amp;" is more than Current On ART "&amp;CHAR(10),""),IF(X379&gt;X359," * Total Screened For TB  for Age "&amp;X20&amp;" "&amp;X21&amp;" is more than Current On ART "&amp;CHAR(10),""),IF(Y379&gt;Y359," * Total Screened For TB  for Age "&amp;X20&amp;" "&amp;Y21&amp;" is more than Current On ART "&amp;CHAR(10),""),IF(Z379&gt;Z359," * Total Screened For TB  for Age "&amp;Z20&amp;" "&amp;Z21&amp;" is more than Current On ART "&amp;CHAR(10),""),IF(AA379&gt;AA359," * Total Screened For TB  for Age "&amp;Z20&amp;" "&amp;AA21&amp;" is more than Current On ART "&amp;CHAR(10),""))</f>
        <v/>
      </c>
      <c r="AL379" s="1182"/>
      <c r="AM379" s="31" t="str">
        <f>CONCATENATE(IF(D379&lt;D359," * Screened for TB for Age "&amp;D20&amp;" "&amp;D21&amp;" is less than Current On ART"&amp;CHAR(10),""),IF(E379&lt;E359," * Screened for TB for Age "&amp;D20&amp;" "&amp;E21&amp;" is less than Current On ART"&amp;CHAR(10),""),IF(F379&lt;F359," * Screened for TB for Age "&amp;F20&amp;" "&amp;F21&amp;" is less than Current On ART"&amp;CHAR(10),""),IF(G379&lt;G359," * Screened for TB for Age "&amp;F20&amp;" "&amp;G21&amp;" is less than Current On ART"&amp;CHAR(10),""),IF(H379&lt;H359," * Screened for TB for Age "&amp;H20&amp;" "&amp;H21&amp;" is less than Current On ART"&amp;CHAR(10),""),IF(I379&lt;I359," * Screened for TB for Age "&amp;H20&amp;" "&amp;I21&amp;" is less than Current On ART"&amp;CHAR(10),""),IF(J379&lt;J359," * Screened for TB for Age "&amp;J20&amp;" "&amp;J21&amp;" is less than Current On ART"&amp;CHAR(10),""),IF(K379&lt;K359," * Screened for TB for Age "&amp;J20&amp;" "&amp;K21&amp;" is less than Current On ART"&amp;CHAR(10),""),IF(L379&lt;L359," * Screened for TB for Age "&amp;L20&amp;" "&amp;L21&amp;" is less than Current On ART"&amp;CHAR(10),""),IF(M379&lt;M359," * Screened for TB for Age "&amp;L20&amp;" "&amp;M21&amp;" is less than Current On ART"&amp;CHAR(10),""),IF(N379&lt;N359," * Screened for TB for Age "&amp;N20&amp;" "&amp;N21&amp;" is less than Current On ART"&amp;CHAR(10),""),IF(O379&lt;O359," * Screened for TB for Age "&amp;N20&amp;" "&amp;O21&amp;" is less than Current On ART"&amp;CHAR(10),""),IF(P379&lt;P359," * Screened for TB for Age "&amp;P20&amp;" "&amp;P21&amp;" is less than Current On ART"&amp;CHAR(10),""),IF(Q379&lt;Q359," * Screened for TB for Age "&amp;P20&amp;" "&amp;Q21&amp;" is less than Current On ART"&amp;CHAR(10),""),IF(R379&lt;R359," * Screened for TB for Age "&amp;R20&amp;" "&amp;R21&amp;" is less than Current On ART"&amp;CHAR(10),""),IF(S379&lt;S359," * Screened for TB for Age "&amp;R20&amp;" "&amp;S21&amp;" is less than Current On ART"&amp;CHAR(10),""),IF(T379&lt;T359," * Screened for TB for Age "&amp;T20&amp;" "&amp;T21&amp;" is less than Current On ART"&amp;CHAR(10),""),IF(U379&lt;U359," * Screened for TB for Age "&amp;T20&amp;" "&amp;U21&amp;" is less than Current On ART"&amp;CHAR(10),""),IF(V379&lt;V359," * Screened for TB for Age "&amp;V20&amp;" "&amp;V21&amp;" is less than Current On ART"&amp;CHAR(10),""),IF(W379&lt;W359," * Screened for TB for Age "&amp;V20&amp;" "&amp;W21&amp;" is less than Current On ART"&amp;CHAR(10),""),IF(X379&lt;X359," * Screened for TB for Age "&amp;X20&amp;" "&amp;X21&amp;" is less than Current On ART"&amp;CHAR(10),""),IF(Y379&lt;Y359," * Screened for TB for Age "&amp;X20&amp;" "&amp;Y21&amp;" is less than Current On ART"&amp;CHAR(10),""),IF(Z379&lt;Z359," * Screened for TB for Age "&amp;Z20&amp;" "&amp;Z21&amp;" is less than Current On ART"&amp;CHAR(10),""),IF(AA379&lt;AA359," * Screened for TB for Age "&amp;Z20&amp;" "&amp;AA21&amp;" is less than Current On ART"&amp;CHAR(10),""))</f>
        <v/>
      </c>
      <c r="AN379" s="1344"/>
      <c r="AO379" s="13">
        <v>277</v>
      </c>
      <c r="AP379" s="74"/>
      <c r="AQ379" s="75"/>
    </row>
    <row r="380" spans="1:43" ht="26.25" x14ac:dyDescent="0.4">
      <c r="A380" s="1389"/>
      <c r="B380" s="1" t="s">
        <v>953</v>
      </c>
      <c r="C380" s="558" t="s">
        <v>565</v>
      </c>
      <c r="D380" s="236"/>
      <c r="E380" s="94"/>
      <c r="F380" s="94"/>
      <c r="G380" s="94"/>
      <c r="H380" s="94"/>
      <c r="I380" s="94"/>
      <c r="J380" s="94"/>
      <c r="K380" s="94"/>
      <c r="L380" s="94"/>
      <c r="M380" s="94"/>
      <c r="N380" s="94"/>
      <c r="O380" s="94"/>
      <c r="P380" s="94"/>
      <c r="Q380" s="94"/>
      <c r="R380" s="94"/>
      <c r="S380" s="94"/>
      <c r="T380" s="94"/>
      <c r="U380" s="94"/>
      <c r="V380" s="94"/>
      <c r="W380" s="94"/>
      <c r="X380" s="94"/>
      <c r="Y380" s="94"/>
      <c r="Z380" s="489">
        <f t="shared" si="159"/>
        <v>0</v>
      </c>
      <c r="AA380" s="489">
        <f t="shared" si="160"/>
        <v>0</v>
      </c>
      <c r="AB380" s="94"/>
      <c r="AC380" s="94"/>
      <c r="AD380" s="94"/>
      <c r="AE380" s="94"/>
      <c r="AF380" s="94"/>
      <c r="AG380" s="94"/>
      <c r="AH380" s="94"/>
      <c r="AI380" s="94"/>
      <c r="AJ380" s="188">
        <f t="shared" si="145"/>
        <v>0</v>
      </c>
      <c r="AK380" s="116"/>
      <c r="AL380" s="1182"/>
      <c r="AM380" s="31"/>
      <c r="AN380" s="1344"/>
      <c r="AO380" s="13">
        <v>278</v>
      </c>
      <c r="AP380" s="74"/>
      <c r="AQ380" s="75"/>
    </row>
    <row r="381" spans="1:43" s="61" customFormat="1" ht="26.25" x14ac:dyDescent="0.4">
      <c r="A381" s="1389"/>
      <c r="B381" s="2" t="s">
        <v>954</v>
      </c>
      <c r="C381" s="559" t="s">
        <v>566</v>
      </c>
      <c r="D381" s="237"/>
      <c r="E381" s="79"/>
      <c r="F381" s="79"/>
      <c r="G381" s="79"/>
      <c r="H381" s="79"/>
      <c r="I381" s="79"/>
      <c r="J381" s="79"/>
      <c r="K381" s="79"/>
      <c r="L381" s="79"/>
      <c r="M381" s="79"/>
      <c r="N381" s="79"/>
      <c r="O381" s="79"/>
      <c r="P381" s="79"/>
      <c r="Q381" s="79"/>
      <c r="R381" s="79"/>
      <c r="S381" s="79"/>
      <c r="T381" s="79"/>
      <c r="U381" s="79"/>
      <c r="V381" s="79"/>
      <c r="W381" s="79"/>
      <c r="X381" s="79"/>
      <c r="Y381" s="79"/>
      <c r="Z381" s="489">
        <f t="shared" si="159"/>
        <v>0</v>
      </c>
      <c r="AA381" s="489">
        <f t="shared" si="160"/>
        <v>0</v>
      </c>
      <c r="AB381" s="79"/>
      <c r="AC381" s="79"/>
      <c r="AD381" s="79"/>
      <c r="AE381" s="79"/>
      <c r="AF381" s="79"/>
      <c r="AG381" s="79"/>
      <c r="AH381" s="79"/>
      <c r="AI381" s="79"/>
      <c r="AJ381" s="173">
        <f t="shared" si="145"/>
        <v>0</v>
      </c>
      <c r="AK381" s="116"/>
      <c r="AL381" s="1182"/>
      <c r="AM381" s="60"/>
      <c r="AN381" s="1344"/>
      <c r="AO381" s="13">
        <v>279</v>
      </c>
      <c r="AP381" s="80"/>
      <c r="AQ381" s="75"/>
    </row>
    <row r="382" spans="1:43" ht="26.25" x14ac:dyDescent="0.4">
      <c r="A382" s="1389"/>
      <c r="B382" s="2" t="s">
        <v>955</v>
      </c>
      <c r="C382" s="559" t="s">
        <v>567</v>
      </c>
      <c r="D382" s="237"/>
      <c r="E382" s="79"/>
      <c r="F382" s="79"/>
      <c r="G382" s="79"/>
      <c r="H382" s="79"/>
      <c r="I382" s="79"/>
      <c r="J382" s="79"/>
      <c r="K382" s="79"/>
      <c r="L382" s="79"/>
      <c r="M382" s="79"/>
      <c r="N382" s="79"/>
      <c r="O382" s="79"/>
      <c r="P382" s="79"/>
      <c r="Q382" s="79"/>
      <c r="R382" s="79"/>
      <c r="S382" s="79"/>
      <c r="T382" s="79"/>
      <c r="U382" s="79"/>
      <c r="V382" s="79"/>
      <c r="W382" s="79"/>
      <c r="X382" s="79"/>
      <c r="Y382" s="79"/>
      <c r="Z382" s="489">
        <f t="shared" si="159"/>
        <v>0</v>
      </c>
      <c r="AA382" s="489">
        <f t="shared" si="160"/>
        <v>0</v>
      </c>
      <c r="AB382" s="79"/>
      <c r="AC382" s="79"/>
      <c r="AD382" s="79"/>
      <c r="AE382" s="79"/>
      <c r="AF382" s="79"/>
      <c r="AG382" s="79"/>
      <c r="AH382" s="79"/>
      <c r="AI382" s="79"/>
      <c r="AJ382" s="173">
        <f t="shared" si="145"/>
        <v>0</v>
      </c>
      <c r="AK382" s="116"/>
      <c r="AL382" s="1182"/>
      <c r="AM382" s="31"/>
      <c r="AN382" s="1344"/>
      <c r="AO382" s="13">
        <v>280</v>
      </c>
      <c r="AP382" s="74"/>
      <c r="AQ382" s="75"/>
    </row>
    <row r="383" spans="1:43" ht="32.25" customHeight="1" thickBot="1" x14ac:dyDescent="0.45">
      <c r="A383" s="1389"/>
      <c r="B383" s="243" t="s">
        <v>787</v>
      </c>
      <c r="C383" s="560" t="s">
        <v>573</v>
      </c>
      <c r="D383" s="246">
        <f t="shared" ref="D383:Y383" si="174">SUM(D380:D382)</f>
        <v>0</v>
      </c>
      <c r="E383" s="246">
        <f t="shared" si="174"/>
        <v>0</v>
      </c>
      <c r="F383" s="246">
        <f t="shared" si="174"/>
        <v>0</v>
      </c>
      <c r="G383" s="246">
        <f t="shared" si="174"/>
        <v>0</v>
      </c>
      <c r="H383" s="246">
        <f t="shared" si="174"/>
        <v>0</v>
      </c>
      <c r="I383" s="246">
        <f t="shared" si="174"/>
        <v>0</v>
      </c>
      <c r="J383" s="246">
        <f t="shared" si="174"/>
        <v>0</v>
      </c>
      <c r="K383" s="246">
        <f t="shared" si="174"/>
        <v>0</v>
      </c>
      <c r="L383" s="246">
        <f t="shared" si="174"/>
        <v>0</v>
      </c>
      <c r="M383" s="246">
        <f t="shared" si="174"/>
        <v>0</v>
      </c>
      <c r="N383" s="246">
        <f t="shared" si="174"/>
        <v>0</v>
      </c>
      <c r="O383" s="246">
        <f t="shared" si="174"/>
        <v>0</v>
      </c>
      <c r="P383" s="246">
        <f t="shared" si="174"/>
        <v>0</v>
      </c>
      <c r="Q383" s="246">
        <f t="shared" si="174"/>
        <v>0</v>
      </c>
      <c r="R383" s="246">
        <f t="shared" si="174"/>
        <v>0</v>
      </c>
      <c r="S383" s="246">
        <f t="shared" si="174"/>
        <v>0</v>
      </c>
      <c r="T383" s="246">
        <f t="shared" si="174"/>
        <v>0</v>
      </c>
      <c r="U383" s="246">
        <f t="shared" si="174"/>
        <v>0</v>
      </c>
      <c r="V383" s="246">
        <f t="shared" si="174"/>
        <v>0</v>
      </c>
      <c r="W383" s="246">
        <f t="shared" si="174"/>
        <v>0</v>
      </c>
      <c r="X383" s="246">
        <f t="shared" si="174"/>
        <v>0</v>
      </c>
      <c r="Y383" s="246">
        <f t="shared" si="174"/>
        <v>0</v>
      </c>
      <c r="Z383" s="489">
        <f t="shared" si="159"/>
        <v>0</v>
      </c>
      <c r="AA383" s="489">
        <f t="shared" si="160"/>
        <v>0</v>
      </c>
      <c r="AB383" s="246">
        <f t="shared" ref="AB383:AI383" si="175">SUM(AB380:AB382)</f>
        <v>0</v>
      </c>
      <c r="AC383" s="246">
        <f t="shared" si="175"/>
        <v>0</v>
      </c>
      <c r="AD383" s="246">
        <f t="shared" si="175"/>
        <v>0</v>
      </c>
      <c r="AE383" s="246">
        <f t="shared" si="175"/>
        <v>0</v>
      </c>
      <c r="AF383" s="246">
        <f t="shared" si="175"/>
        <v>0</v>
      </c>
      <c r="AG383" s="246">
        <f t="shared" si="175"/>
        <v>0</v>
      </c>
      <c r="AH383" s="246">
        <f t="shared" si="175"/>
        <v>0</v>
      </c>
      <c r="AI383" s="246">
        <f t="shared" si="175"/>
        <v>0</v>
      </c>
      <c r="AJ383" s="192">
        <f t="shared" si="145"/>
        <v>0</v>
      </c>
      <c r="AK383" s="30" t="str">
        <f>CONCATENATE(IF(D384&gt;D383," *  Positive Result Returned For bacteriologic diagnosis "&amp;$D$20&amp;" "&amp;$D$21&amp;" is more than Total Patients whose specimens were sent"&amp;CHAR(10),""),IF(E384&gt;E383," *  Positive Result Returned For bacteriologic diagnosis "&amp;$D$20&amp;" "&amp;$E$21&amp;" is more than Total Patients whose specimens were sent"&amp;CHAR(10),""),IF(F384&gt;F383," *  Positive Result Returned For bacteriologic diagnosis "&amp;$F$20&amp;" "&amp;$F$21&amp;" is more than Total Patients whose specimens were sent"&amp;CHAR(10),""),IF(G384&gt;G383," *  Positive Result Returned For bacteriologic diagnosis "&amp;$F$20&amp;" "&amp;$G$21&amp;" is more than Total Patients whose specimens were sent"&amp;CHAR(10),""),IF(H384&gt;H383," *  Positive Result Returned For bacteriologic diagnosis "&amp;$H$20&amp;" "&amp;$H$21&amp;" is more than Total Patients whose specimens were sent"&amp;CHAR(10),""),IF(I384&gt;I383," *  Positive Result Returned For bacteriologic diagnosis "&amp;$H$20&amp;" "&amp;$I$21&amp;" is more than Total Patients whose specimens were sent"&amp;CHAR(10),""),IF(J384&gt;J383," *  Positive Result Returned For bacteriologic diagnosis "&amp;$J$20&amp;" "&amp;$J$21&amp;" is more than Total Patients whose specimens were sent"&amp;CHAR(10),""),IF(K384&gt;K383," *  Positive Result Returned For bacteriologic diagnosis "&amp;$J$20&amp;" "&amp;$K$21&amp;" is more than Total Patients whose specimens were sent"&amp;CHAR(10),""),IF(L384&gt;L383," *  Positive Result Returned For bacteriologic diagnosis "&amp;$L$20&amp;" "&amp;$L$21&amp;" is more than Total Patients whose specimens were sent"&amp;CHAR(10),""),IF(M384&gt;M383," *  Positive Result Returned For bacteriologic diagnosis "&amp;$L$20&amp;" "&amp;$M$21&amp;" is more than Total Patients whose specimens were sent"&amp;CHAR(10),""),IF(N384&gt;N383," *  Positive Result Returned For bacteriologic diagnosis "&amp;$N$20&amp;" "&amp;$N$21&amp;" is more than Total Patients whose specimens were sent"&amp;CHAR(10),""),IF(O384&gt;O383," *  Positive Result Returned For bacteriologic diagnosis "&amp;$N$20&amp;" "&amp;$O$21&amp;" is more than Total Patients whose specimens were sent"&amp;CHAR(10),""),IF(P384&gt;P383," *  Positive Result Returned For bacteriologic diagnosis "&amp;$P$20&amp;" "&amp;$P$21&amp;" is more than Total Patients whose specimens were sent"&amp;CHAR(10),""),IF(Q384&gt;Q383," *  Positive Result Returned For bacteriologic diagnosis "&amp;$P$20&amp;" "&amp;$Q$21&amp;" is more than Total Patients whose specimens were sent"&amp;CHAR(10),""),IF(R384&gt;R383," *  Positive Result Returned For bacteriologic diagnosis "&amp;$R$20&amp;" "&amp;$R$21&amp;" is more than Total Patients whose specimens were sent"&amp;CHAR(10),""),IF(S384&gt;S383," *  Positive Result Returned For bacteriologic diagnosis "&amp;$R$20&amp;" "&amp;$S$21&amp;" is more than Total Patients whose specimens were sent"&amp;CHAR(10),""),IF(T384&gt;T383," *  Positive Result Returned For bacteriologic diagnosis "&amp;$T$20&amp;" "&amp;$T$21&amp;" is more than Total Patients whose specimens were sent"&amp;CHAR(10),""),IF(U384&gt;U383," *  Positive Result Returned For bacteriologic diagnosis "&amp;$T$20&amp;" "&amp;$U$21&amp;" is more than Total Patients whose specimens were sent"&amp;CHAR(10),""),IF(V384&gt;V383," *  Positive Result Returned For bacteriologic diagnosis "&amp;$V$20&amp;" "&amp;$V$21&amp;" is more than Total Patients whose specimens were sent"&amp;CHAR(10),""),IF(W384&gt;W383," *  Positive Result Returned For bacteriologic diagnosis "&amp;$V$20&amp;" "&amp;$W$21&amp;" is more than Total Patients whose specimens were sent"&amp;CHAR(10),""),IF(X384&gt;X383," *  Positive Result Returned For bacteriologic diagnosis "&amp;$X$20&amp;" "&amp;$X$21&amp;" is more than Total Patients whose specimens were sent"&amp;CHAR(10),""),IF(Y384&gt;Y383," *  Positive Result Returned For bacteriologic diagnosis "&amp;$X$20&amp;" "&amp;$Y$21&amp;" is more than Total Patients whose specimens were sent"&amp;CHAR(10),""),IF(Z384&gt;Z383," *  Positive Result Returned For bacteriologic diagnosis "&amp;$Z$20&amp;" "&amp;$Z$21&amp;" is more than Total Patients whose specimens were sent"&amp;CHAR(10),""),IF(AA384&gt;AA383," *  Positive Result Returned For bacteriologic diagnosis "&amp;$Z$20&amp;" "&amp;$AA$21&amp;" is more than Total Patients whose specimens were sent"&amp;CHAR(10),""))</f>
        <v/>
      </c>
      <c r="AL383" s="1182"/>
      <c r="AM383" s="31"/>
      <c r="AN383" s="1344"/>
      <c r="AO383" s="13">
        <v>281</v>
      </c>
      <c r="AP383" s="74"/>
      <c r="AQ383" s="75"/>
    </row>
    <row r="384" spans="1:43" ht="53.25" thickBot="1" x14ac:dyDescent="0.45">
      <c r="A384" s="1390"/>
      <c r="B384" s="976" t="s">
        <v>572</v>
      </c>
      <c r="C384" s="554" t="s">
        <v>574</v>
      </c>
      <c r="D384" s="944"/>
      <c r="E384" s="944"/>
      <c r="F384" s="944"/>
      <c r="G384" s="944"/>
      <c r="H384" s="944"/>
      <c r="I384" s="944"/>
      <c r="J384" s="944"/>
      <c r="K384" s="944"/>
      <c r="L384" s="944"/>
      <c r="M384" s="944"/>
      <c r="N384" s="944"/>
      <c r="O384" s="944"/>
      <c r="P384" s="944"/>
      <c r="Q384" s="944"/>
      <c r="R384" s="944"/>
      <c r="S384" s="944"/>
      <c r="T384" s="944"/>
      <c r="U384" s="944"/>
      <c r="V384" s="944"/>
      <c r="W384" s="944"/>
      <c r="X384" s="944"/>
      <c r="Y384" s="944"/>
      <c r="Z384" s="518">
        <f t="shared" ref="Z384:Z387" si="176">SUM(AB384,AD384,AF384,AH384)</f>
        <v>0</v>
      </c>
      <c r="AA384" s="518">
        <f t="shared" ref="AA384:AA387" si="177">SUM(AC384,AE384,AG384,AI384)</f>
        <v>0</v>
      </c>
      <c r="AB384" s="944"/>
      <c r="AC384" s="944"/>
      <c r="AD384" s="944"/>
      <c r="AE384" s="944"/>
      <c r="AF384" s="944"/>
      <c r="AG384" s="944"/>
      <c r="AH384" s="944"/>
      <c r="AI384" s="944"/>
      <c r="AJ384" s="378">
        <f t="shared" si="145"/>
        <v>0</v>
      </c>
      <c r="AK384" s="30" t="str">
        <f>CONCATENATE(IF(D376&lt;D383," *  Total Screening positive for TB ( Presumptive TB Clients ) "&amp;$D$20&amp;" "&amp;$D$21&amp;" is less than Total Patients whose specimens were sent"&amp;CHAR(10),""),IF(E376&lt;E383," *  Total Screening positive for TB ( Presumptive TB Clients ) "&amp;$D$20&amp;" "&amp;$E$21&amp;" is less than Total Patients whose specimens were sent"&amp;CHAR(10),""),IF(F376&lt;F383," *  Total Screening positive for TB ( Presumptive TB Clients ) "&amp;$F$20&amp;" "&amp;$F$21&amp;" is less than Total Patients whose specimens were sent"&amp;CHAR(10),""),IF(G376&lt;G383," *  Total Screening positive for TB ( Presumptive TB Clients ) "&amp;$F$20&amp;" "&amp;$G$21&amp;" is less than Total Patients whose specimens were sent"&amp;CHAR(10),""),IF(H376&lt;H383," *  Total Screening positive for TB ( Presumptive TB Clients ) "&amp;$H$20&amp;" "&amp;$H$21&amp;" is less than Total Patients whose specimens were sent"&amp;CHAR(10),""),IF(I376&lt;I383," *  Total Screening positive for TB ( Presumptive TB Clients ) "&amp;$H$20&amp;" "&amp;$I$21&amp;" is less than Total Patients whose specimens were sent"&amp;CHAR(10),""),IF(J376&lt;J383," *  Total Screening positive for TB ( Presumptive TB Clients ) "&amp;$J$20&amp;" "&amp;$J$21&amp;" is less than Total Patients whose specimens were sent"&amp;CHAR(10),""),IF(K376&lt;K383," *  Total Screening positive for TB ( Presumptive TB Clients ) "&amp;$J$20&amp;" "&amp;$K$21&amp;" is less than Total Patients whose specimens were sent"&amp;CHAR(10),""),IF(L376&lt;L383," *  Total Screening positive for TB ( Presumptive TB Clients ) "&amp;$L$20&amp;" "&amp;$L$21&amp;" is less than Total Patients whose specimens were sent"&amp;CHAR(10),""),IF(M376&lt;M383," *  Total Screening positive for TB ( Presumptive TB Clients ) "&amp;$L$20&amp;" "&amp;$M$21&amp;" is less than Total Patients whose specimens were sent"&amp;CHAR(10),""),IF(N376&lt;N383," *  Total Screening positive for TB ( Presumptive TB Clients ) "&amp;$N$20&amp;" "&amp;$N$21&amp;" is less than Total Patients whose specimens were sent"&amp;CHAR(10),""),IF(O376&lt;O383," *  Total Screening positive for TB ( Presumptive TB Clients ) "&amp;$N$20&amp;" "&amp;$O$21&amp;" is less than Total Patients whose specimens were sent"&amp;CHAR(10),""),IF(P376&lt;P383," *  Total Screening positive for TB ( Presumptive TB Clients ) "&amp;$P$20&amp;" "&amp;$P$21&amp;" is less than Total Patients whose specimens were sent"&amp;CHAR(10),""),IF(Q376&lt;Q383," *  Total Screening positive for TB ( Presumptive TB Clients ) "&amp;$P$20&amp;" "&amp;$Q$21&amp;" is less than Total Patients whose specimens were sent"&amp;CHAR(10),""),IF(R376&lt;R383," *  Total Screening positive for TB ( Presumptive TB Clients ) "&amp;$R$20&amp;" "&amp;$R$21&amp;" is less than Total Patients whose specimens were sent"&amp;CHAR(10),""),IF(S376&lt;S383," *  Total Screening positive for TB ( Presumptive TB Clients ) "&amp;$R$20&amp;" "&amp;$S$21&amp;" is less than Total Patients whose specimens were sent"&amp;CHAR(10),""),IF(T376&lt;T383," *  Total Screening positive for TB ( Presumptive TB Clients ) "&amp;$T$20&amp;" "&amp;$T$21&amp;" is less than Total Patients whose specimens were sent"&amp;CHAR(10),""),IF(U376&lt;U383," *  Total Screening positive for TB ( Presumptive TB Clients ) "&amp;$T$20&amp;" "&amp;$U$21&amp;" is less than Total Patients whose specimens were sent"&amp;CHAR(10),""),IF(V376&lt;V383," *  Total Screening positive for TB ( Presumptive TB Clients ) "&amp;$V$20&amp;" "&amp;$V$21&amp;" is less than Total Patients whose specimens were sent"&amp;CHAR(10),""),IF(W376&lt;W383," *  Total Screening positive for TB ( Presumptive TB Clients ) "&amp;$V$20&amp;" "&amp;$W$21&amp;" is less than Total Patients whose specimens were sent"&amp;CHAR(10),""),IF(X376&lt;X383," *  Total Screening positive for TB ( Presumptive TB Clients ) "&amp;$X$20&amp;" "&amp;$X$21&amp;" is less than Total Patients whose specimens were sent"&amp;CHAR(10),""),IF(Y376&lt;Y383," *  Total Screening positive for TB ( Presumptive TB Clients ) "&amp;$X$20&amp;" "&amp;$Y$21&amp;" is less than Total Patients whose specimens were sent"&amp;CHAR(10),""),IF(Z376&lt;Z383," *  Total Screening positive for TB ( Presumptive TB Clients ) "&amp;$Z$20&amp;" "&amp;$Z$21&amp;" is less than Total Patients whose specimens were sent"&amp;CHAR(10),""),IF(AA376&lt;AA383," *  Total Screening positive for TB ( Presumptive TB Clients ) "&amp;$Z$20&amp;" "&amp;$AA$21&amp;" is less than Total Patients whose specimens were sent"&amp;CHAR(10),""))</f>
        <v/>
      </c>
      <c r="AL384" s="1182"/>
      <c r="AM384" s="31"/>
      <c r="AN384" s="1344"/>
      <c r="AO384" s="13">
        <v>282</v>
      </c>
      <c r="AP384" s="74"/>
      <c r="AQ384" s="75"/>
    </row>
    <row r="385" spans="1:43" ht="26.25" x14ac:dyDescent="0.4">
      <c r="A385" s="1396" t="s">
        <v>1290</v>
      </c>
      <c r="B385" s="986" t="s">
        <v>1291</v>
      </c>
      <c r="C385" s="995" t="s">
        <v>1294</v>
      </c>
      <c r="D385" s="619"/>
      <c r="E385" s="619"/>
      <c r="F385" s="619"/>
      <c r="G385" s="619"/>
      <c r="H385" s="619"/>
      <c r="I385" s="619"/>
      <c r="J385" s="619"/>
      <c r="K385" s="619"/>
      <c r="L385" s="619"/>
      <c r="M385" s="619"/>
      <c r="N385" s="619"/>
      <c r="O385" s="619"/>
      <c r="P385" s="619"/>
      <c r="Q385" s="619"/>
      <c r="R385" s="619"/>
      <c r="S385" s="619"/>
      <c r="T385" s="619"/>
      <c r="U385" s="619"/>
      <c r="V385" s="619"/>
      <c r="W385" s="619"/>
      <c r="X385" s="619"/>
      <c r="Y385" s="619"/>
      <c r="Z385" s="524">
        <f t="shared" si="176"/>
        <v>0</v>
      </c>
      <c r="AA385" s="524">
        <f t="shared" si="177"/>
        <v>0</v>
      </c>
      <c r="AB385" s="619"/>
      <c r="AC385" s="619"/>
      <c r="AD385" s="619"/>
      <c r="AE385" s="619"/>
      <c r="AF385" s="619"/>
      <c r="AG385" s="619"/>
      <c r="AH385" s="619"/>
      <c r="AI385" s="619"/>
      <c r="AJ385" s="686">
        <f t="shared" si="145"/>
        <v>0</v>
      </c>
      <c r="AK385" s="30" t="str">
        <f>CONCATENATE(IF(D379&lt;&gt;(D385+D386+D387)," * Total "&amp;A385&amp;" "&amp;$D$20&amp;" "&amp;$D$21&amp;" should be equal to "&amp;B379&amp;""&amp;CHAR(10),""),IF(E379&lt;&gt;(E385+E386+E387)," * Total "&amp;A385&amp;" "&amp;$D$20&amp;" "&amp;$E$21&amp;" should be equal to  "&amp;B379&amp;""&amp;CHAR(10),""),IF(F379&lt;&gt;(F385+F386+F387)," * Total "&amp;A385&amp;" "&amp;$F$20&amp;" "&amp;$F$21&amp;" should be equal to  "&amp;B379&amp;""&amp;CHAR(10),""),IF(G379&lt;&gt;(G385+G386+G387)," * Total "&amp;A385&amp;" "&amp;$F$20&amp;" "&amp;$G$21&amp;" should be equal to  "&amp;B379&amp;""&amp;CHAR(10),""),IF(H379&lt;&gt;(H385+H386+H387)," * Total "&amp;A385&amp;" "&amp;$H$20&amp;" "&amp;$H$21&amp;" should be equal to  "&amp;B379&amp;""&amp;CHAR(10),""),IF(I379&lt;&gt;(I385+I386+I387)," * Total "&amp;A385&amp;" "&amp;$H$20&amp;" "&amp;$I$21&amp;" should be equal to  "&amp;B379&amp;""&amp;CHAR(10),""),IF(J379&lt;&gt;(J385+J386+J387)," * Total "&amp;A385&amp;" "&amp;$J$20&amp;" "&amp;$J$21&amp;" should be equal to  "&amp;B379&amp;""&amp;CHAR(10),""),IF(K379&lt;&gt;(K385+K386+K387)," * Total "&amp;A385&amp;" "&amp;$J$20&amp;" "&amp;$K$21&amp;" should be equal to  "&amp;B379&amp;""&amp;CHAR(10),""),IF(L379&lt;&gt;(L385+L386+L387)," * Total "&amp;A385&amp;" "&amp;$L$20&amp;" "&amp;$L$21&amp;" should be equal to  "&amp;B379&amp;""&amp;CHAR(10),""),IF(M379&lt;&gt;(M385+M386+M387)," * Total "&amp;A385&amp;" "&amp;$L$20&amp;" "&amp;$M$21&amp;" should be equal to  "&amp;B379&amp;""&amp;CHAR(10),""),IF(N379&lt;&gt;(N385+N386+N387)," * Total "&amp;A385&amp;" "&amp;$N$20&amp;" "&amp;$N$21&amp;" should be equal to  "&amp;B379&amp;""&amp;CHAR(10),""),IF(O379&lt;&gt;(O385+O386+O387)," * Total "&amp;A385&amp;" "&amp;$N$20&amp;" "&amp;$O$21&amp;" should be equal to  "&amp;B379&amp;""&amp;CHAR(10),""),IF(P379&lt;&gt;(P385+P386+P387)," * Total "&amp;A385&amp;" "&amp;$P$20&amp;" "&amp;$P$21&amp;" should be equal to  "&amp;B379&amp;""&amp;CHAR(10),""),IF(Q379&lt;&gt;(Q385+Q386+Q387)," * Total "&amp;A385&amp;" "&amp;$P$20&amp;" "&amp;$Q$21&amp;" should be equal to  "&amp;B379&amp;""&amp;CHAR(10),""),IF(R379&lt;&gt;(R385+R386+R387)," * Total "&amp;A385&amp;" "&amp;$R$20&amp;" "&amp;$R$21&amp;" should be equal to  "&amp;B379&amp;""&amp;CHAR(10),""),IF(S379&lt;&gt;(S385+S386+S387)," * Total "&amp;A385&amp;" "&amp;$R$20&amp;" "&amp;$S$21&amp;" should be equal to  "&amp;B379&amp;""&amp;CHAR(10),""),IF(T379&lt;&gt;(T385+T386+T387)," * Total "&amp;A385&amp;" "&amp;$T$20&amp;" "&amp;$T$21&amp;" should be equal to  "&amp;B379&amp;""&amp;CHAR(10),""),IF(U379&lt;&gt;(U385+U386+U387)," * Total "&amp;A385&amp;" "&amp;$T$20&amp;" "&amp;$U$21&amp;" should be equal to  "&amp;B379&amp;""&amp;CHAR(10),""),IF(V379&lt;&gt;(V385+V386+V387)," * Total "&amp;A385&amp;" "&amp;$V$20&amp;" "&amp;$V$21&amp;" should be equal to  "&amp;B379&amp;""&amp;CHAR(10),""),IF(W379&lt;&gt;(W385+W386+W387)," * Total "&amp;A385&amp;" "&amp;$V$20&amp;" "&amp;$W$21&amp;" should be equal to  "&amp;B379&amp;""&amp;CHAR(10),""),IF(X379&lt;&gt;(X385+X386+X387)," * Total "&amp;A385&amp;" "&amp;$X$20&amp;" "&amp;$X$21&amp;" should be equal to  "&amp;B379&amp;""&amp;CHAR(10),""),IF(Y379&lt;&gt;(Y385+Y386+Y387)," * Total "&amp;A385&amp;" "&amp;$X$20&amp;" "&amp;$Y$21&amp;" should be equal to  "&amp;B379&amp;""&amp;CHAR(10),""),IF(Z379&lt;&gt;(Z385+Z386+Z387)," * Total "&amp;A385&amp;" "&amp;$Z$20&amp;" "&amp;$Z$21&amp;" should be equal to  "&amp;B379&amp;""&amp;CHAR(10),""),IF(AA379&lt;&gt;(AA385+AA386+AA387)," * Total "&amp;A385&amp;" "&amp;$Z$20&amp;" "&amp;$AA$21&amp;" should be equal to  "&amp;B379&amp;""&amp;CHAR(10),""))</f>
        <v/>
      </c>
      <c r="AL385" s="1182"/>
      <c r="AM385" s="31"/>
      <c r="AN385" s="1344"/>
      <c r="AO385" s="13"/>
      <c r="AP385" s="74"/>
      <c r="AQ385" s="75"/>
    </row>
    <row r="386" spans="1:43" ht="26.25" x14ac:dyDescent="0.4">
      <c r="A386" s="1397"/>
      <c r="B386" s="987" t="s">
        <v>1309</v>
      </c>
      <c r="C386" s="996" t="s">
        <v>1295</v>
      </c>
      <c r="D386" s="656"/>
      <c r="E386" s="656"/>
      <c r="F386" s="656"/>
      <c r="G386" s="656"/>
      <c r="H386" s="656"/>
      <c r="I386" s="656"/>
      <c r="J386" s="656"/>
      <c r="K386" s="656"/>
      <c r="L386" s="656"/>
      <c r="M386" s="656"/>
      <c r="N386" s="656"/>
      <c r="O386" s="656"/>
      <c r="P386" s="656"/>
      <c r="Q386" s="656"/>
      <c r="R386" s="656"/>
      <c r="S386" s="656"/>
      <c r="T386" s="656"/>
      <c r="U386" s="656"/>
      <c r="V386" s="656"/>
      <c r="W386" s="656"/>
      <c r="X386" s="656"/>
      <c r="Y386" s="656"/>
      <c r="Z386" s="524">
        <f t="shared" si="176"/>
        <v>0</v>
      </c>
      <c r="AA386" s="524">
        <f t="shared" si="177"/>
        <v>0</v>
      </c>
      <c r="AB386" s="656"/>
      <c r="AC386" s="656"/>
      <c r="AD386" s="656"/>
      <c r="AE386" s="656"/>
      <c r="AF386" s="656"/>
      <c r="AG386" s="656"/>
      <c r="AH386" s="656"/>
      <c r="AI386" s="656"/>
      <c r="AJ386" s="708">
        <f t="shared" si="145"/>
        <v>0</v>
      </c>
      <c r="AK386" s="30"/>
      <c r="AL386" s="1182"/>
      <c r="AM386" s="31"/>
      <c r="AN386" s="1344"/>
      <c r="AO386" s="13"/>
      <c r="AP386" s="74"/>
      <c r="AQ386" s="75"/>
    </row>
    <row r="387" spans="1:43" ht="53.25" thickBot="1" x14ac:dyDescent="0.45">
      <c r="A387" s="1398"/>
      <c r="B387" s="988" t="s">
        <v>1343</v>
      </c>
      <c r="C387" s="997" t="s">
        <v>1296</v>
      </c>
      <c r="D387" s="672"/>
      <c r="E387" s="672"/>
      <c r="F387" s="672"/>
      <c r="G387" s="672"/>
      <c r="H387" s="672"/>
      <c r="I387" s="672"/>
      <c r="J387" s="672"/>
      <c r="K387" s="672"/>
      <c r="L387" s="672"/>
      <c r="M387" s="672"/>
      <c r="N387" s="672"/>
      <c r="O387" s="672"/>
      <c r="P387" s="672"/>
      <c r="Q387" s="672"/>
      <c r="R387" s="672"/>
      <c r="S387" s="672"/>
      <c r="T387" s="672"/>
      <c r="U387" s="672"/>
      <c r="V387" s="672"/>
      <c r="W387" s="672"/>
      <c r="X387" s="672"/>
      <c r="Y387" s="672"/>
      <c r="Z387" s="524">
        <f t="shared" si="176"/>
        <v>0</v>
      </c>
      <c r="AA387" s="524">
        <f t="shared" si="177"/>
        <v>0</v>
      </c>
      <c r="AB387" s="672"/>
      <c r="AC387" s="672"/>
      <c r="AD387" s="672"/>
      <c r="AE387" s="672"/>
      <c r="AF387" s="672"/>
      <c r="AG387" s="672"/>
      <c r="AH387" s="672"/>
      <c r="AI387" s="672"/>
      <c r="AJ387" s="687">
        <f t="shared" si="145"/>
        <v>0</v>
      </c>
      <c r="AK387" s="30"/>
      <c r="AL387" s="1182"/>
      <c r="AM387" s="31"/>
      <c r="AN387" s="1344"/>
      <c r="AO387" s="13"/>
      <c r="AP387" s="74"/>
      <c r="AQ387" s="75"/>
    </row>
    <row r="388" spans="1:43" ht="52.5" x14ac:dyDescent="0.4">
      <c r="A388" s="1360" t="s">
        <v>789</v>
      </c>
      <c r="B388" s="69" t="s">
        <v>1250</v>
      </c>
      <c r="C388" s="871" t="s">
        <v>577</v>
      </c>
      <c r="D388" s="138"/>
      <c r="E388" s="138"/>
      <c r="F388" s="138"/>
      <c r="G388" s="138"/>
      <c r="H388" s="138"/>
      <c r="I388" s="138"/>
      <c r="J388" s="138"/>
      <c r="K388" s="138"/>
      <c r="L388" s="138"/>
      <c r="M388" s="138"/>
      <c r="N388" s="138"/>
      <c r="O388" s="138"/>
      <c r="P388" s="138"/>
      <c r="Q388" s="138"/>
      <c r="R388" s="138"/>
      <c r="S388" s="138"/>
      <c r="T388" s="138"/>
      <c r="U388" s="138"/>
      <c r="V388" s="138"/>
      <c r="W388" s="138"/>
      <c r="X388" s="138"/>
      <c r="Y388" s="138"/>
      <c r="Z388" s="524">
        <f t="shared" ref="Z388" si="178">SUM(AB388,AD388,AF388,AH388)</f>
        <v>0</v>
      </c>
      <c r="AA388" s="524">
        <f t="shared" ref="AA388" si="179">SUM(AC388,AE388,AG388,AI388)</f>
        <v>0</v>
      </c>
      <c r="AB388" s="138"/>
      <c r="AC388" s="138"/>
      <c r="AD388" s="138"/>
      <c r="AE388" s="138"/>
      <c r="AF388" s="138"/>
      <c r="AG388" s="138"/>
      <c r="AH388" s="138"/>
      <c r="AI388" s="532"/>
      <c r="AJ388" s="994">
        <f t="shared" ref="AJ388" si="180">SUM(D388:AA388)</f>
        <v>0</v>
      </c>
      <c r="AK388" s="116"/>
      <c r="AL388" s="1182"/>
      <c r="AM388" s="31"/>
      <c r="AN388" s="1344"/>
      <c r="AO388" s="13">
        <v>283</v>
      </c>
      <c r="AP388" s="74"/>
      <c r="AQ388" s="75"/>
    </row>
    <row r="389" spans="1:43" ht="26.25" x14ac:dyDescent="0.4">
      <c r="A389" s="1361"/>
      <c r="B389" s="76" t="s">
        <v>1251</v>
      </c>
      <c r="C389" s="559" t="s">
        <v>578</v>
      </c>
      <c r="D389" s="79"/>
      <c r="E389" s="79"/>
      <c r="F389" s="79"/>
      <c r="G389" s="79"/>
      <c r="H389" s="79"/>
      <c r="I389" s="79"/>
      <c r="J389" s="79"/>
      <c r="K389" s="79"/>
      <c r="L389" s="79"/>
      <c r="M389" s="79"/>
      <c r="N389" s="79"/>
      <c r="O389" s="79"/>
      <c r="P389" s="79"/>
      <c r="Q389" s="79"/>
      <c r="R389" s="79"/>
      <c r="S389" s="79"/>
      <c r="T389" s="79"/>
      <c r="U389" s="79"/>
      <c r="V389" s="79"/>
      <c r="W389" s="79"/>
      <c r="X389" s="79"/>
      <c r="Y389" s="79"/>
      <c r="Z389" s="489">
        <f t="shared" ref="Z389" si="181">SUM(AB389,AD389,AF389,AH389)</f>
        <v>0</v>
      </c>
      <c r="AA389" s="489">
        <f t="shared" ref="AA389" si="182">SUM(AC389,AE389,AG389,AI389)</f>
        <v>0</v>
      </c>
      <c r="AB389" s="79"/>
      <c r="AC389" s="79"/>
      <c r="AD389" s="79"/>
      <c r="AE389" s="79"/>
      <c r="AF389" s="79"/>
      <c r="AG389" s="79"/>
      <c r="AH389" s="79"/>
      <c r="AI389" s="307"/>
      <c r="AJ389" s="597">
        <f t="shared" ref="AJ389" si="183">SUM(D389:AA389)</f>
        <v>0</v>
      </c>
      <c r="AK389" s="116" t="str">
        <f>CONCATENATE(IF(D390&gt;D384," *  Confirmed ART Patients TB positive and started on TB treatment "&amp;$D$20&amp;" "&amp;$D$21&amp;" is less than  ART patients who had a positive result returned F07-50"&amp;CHAR(10),""),IF(E390&gt;E384," *  Confirmed ART Patients TB positive and started on TB treatment "&amp;$D$20&amp;" "&amp;$E$21&amp;" is less than  ART patients who had a positive result returned F07-50"&amp;CHAR(10),""),IF(F390&gt;F384," *  Confirmed ART Patients TB positive and started on TB treatment "&amp;$F$20&amp;" "&amp;$F$21&amp;" is less than  ART patients who had a positive result returned F07-50"&amp;CHAR(10),""),IF(G390&gt;G384," *  Confirmed ART Patients TB positive and started on TB treatment "&amp;$F$20&amp;" "&amp;$G$21&amp;" is less than  ART patients who had a positive result returned F07-50"&amp;CHAR(10),""),IF(H390&gt;H384," *  Confirmed ART Patients TB positive and started on TB treatment "&amp;$H$20&amp;" "&amp;$H$21&amp;" is less than  ART patients who had a positive result returned F07-50"&amp;CHAR(10),""),IF(I390&gt;I384," *  Confirmed ART Patients TB positive and started on TB treatment "&amp;$H$20&amp;" "&amp;$I$21&amp;" is less than  ART patients who had a positive result returned F07-50"&amp;CHAR(10),""),IF(J390&gt;J384," *  Confirmed ART Patients TB positive and started on TB treatment "&amp;$J$20&amp;" "&amp;$J$21&amp;" is less than  ART patients who had a positive result returned F07-50"&amp;CHAR(10),""),IF(K390&gt;K384," *  Confirmed ART Patients TB positive and started on TB treatment "&amp;$J$20&amp;" "&amp;$K$21&amp;" is less than  ART patients who had a positive result returned F07-50"&amp;CHAR(10),""),IF(L390&gt;L384," *  Confirmed ART Patients TB positive and started on TB treatment "&amp;$L$20&amp;" "&amp;$L$21&amp;" is less than  ART patients who had a positive result returned F07-50"&amp;CHAR(10),""),IF(M390&gt;M384," *  Confirmed ART Patients TB positive and started on TB treatment "&amp;$L$20&amp;" "&amp;$M$21&amp;" is less than  ART patients who had a positive result returned F07-50"&amp;CHAR(10),""),IF(N390&gt;N384," *  Confirmed ART Patients TB positive and started on TB treatment "&amp;$N$20&amp;" "&amp;$N$21&amp;" is less than  ART patients who had a positive result returned F07-50"&amp;CHAR(10),""),IF(O390&gt;O384," *  Confirmed ART Patients TB positive and started on TB treatment "&amp;$N$20&amp;" "&amp;$O$21&amp;" is less than  ART patients who had a positive result returned F07-50"&amp;CHAR(10),""),IF(P390&gt;P384," *  Confirmed ART Patients TB positive and started on TB treatment "&amp;$P$20&amp;" "&amp;$P$21&amp;" is less than  ART patients who had a positive result returned F07-50"&amp;CHAR(10),""),IF(Q390&gt;Q384," *  Confirmed ART Patients TB positive and started on TB treatment "&amp;$P$20&amp;" "&amp;$Q$21&amp;" is less than  ART patients who had a positive result returned F07-50"&amp;CHAR(10),""),IF(R390&gt;R384," *  Confirmed ART Patients TB positive and started on TB treatment "&amp;$R$20&amp;" "&amp;$R$21&amp;" is less than  ART patients who had a positive result returned F07-50"&amp;CHAR(10),""),IF(S390&gt;S384," *  Confirmed ART Patients TB positive and started on TB treatment "&amp;$R$20&amp;" "&amp;$S$21&amp;" is less than  ART patients who had a positive result returned F07-50"&amp;CHAR(10),""),IF(T390&gt;T384," *  Confirmed ART Patients TB positive and started on TB treatment "&amp;$T$20&amp;" "&amp;$T$21&amp;" is less than  ART patients who had a positive result returned F07-50"&amp;CHAR(10),""),IF(U390&gt;U384," *  Confirmed ART Patients TB positive and started on TB treatment "&amp;$T$20&amp;" "&amp;$U$21&amp;" is less than  ART patients who had a positive result returned F07-50"&amp;CHAR(10),""),IF(V390&gt;V384," *  Confirmed ART Patients TB positive and started on TB treatment "&amp;$V$20&amp;" "&amp;$V$21&amp;" is less than  ART patients who had a positive result returned F07-50"&amp;CHAR(10),""),IF(W390&gt;W384," *  Confirmed ART Patients TB positive and started on TB treatment "&amp;$V$20&amp;" "&amp;$W$21&amp;" is less than  ART patients who had a positive result returned F07-50"&amp;CHAR(10),""),IF(X390&gt;X384," *  Confirmed ART Patients TB positive and started on TB treatment "&amp;$X$20&amp;" "&amp;$X$21&amp;" is less than  ART patients who had a positive result returned F07-50"&amp;CHAR(10),""),IF(Y390&gt;Y384," *  Confirmed ART Patients TB positive and started on TB treatment "&amp;$X$20&amp;" "&amp;$Y$21&amp;" is less than  ART patients who had a positive result returned F07-50"&amp;CHAR(10),""),IF(Z390&gt;Z384," *  Confirmed ART Patients TB positive and started on TB treatment "&amp;$Z$20&amp;" "&amp;$Z$21&amp;" is less than  ART patients who had a positive result returned F07-50"&amp;CHAR(10),""),IF(AA390&gt;AA384," *  Confirmed ART Patients TB positive and started on TB treatment "&amp;$Z$20&amp;" "&amp;$AA$21&amp;" is less than  ART patients who had a positive result returned F07-50"&amp;CHAR(10),""))</f>
        <v/>
      </c>
      <c r="AL389" s="1182"/>
      <c r="AM389" s="31"/>
      <c r="AN389" s="1344"/>
      <c r="AO389" s="13">
        <v>284</v>
      </c>
      <c r="AP389" s="74"/>
      <c r="AQ389" s="75"/>
    </row>
    <row r="390" spans="1:43" ht="27" thickBot="1" x14ac:dyDescent="0.45">
      <c r="A390" s="1362"/>
      <c r="B390" s="241" t="s">
        <v>1252</v>
      </c>
      <c r="C390" s="560" t="s">
        <v>579</v>
      </c>
      <c r="D390" s="242">
        <f>D388+D389</f>
        <v>0</v>
      </c>
      <c r="E390" s="242">
        <f t="shared" ref="E390:Z390" si="184">E388+E389</f>
        <v>0</v>
      </c>
      <c r="F390" s="242">
        <f t="shared" si="184"/>
        <v>0</v>
      </c>
      <c r="G390" s="242">
        <f t="shared" si="184"/>
        <v>0</v>
      </c>
      <c r="H390" s="242">
        <f t="shared" si="184"/>
        <v>0</v>
      </c>
      <c r="I390" s="242">
        <f t="shared" si="184"/>
        <v>0</v>
      </c>
      <c r="J390" s="242">
        <f t="shared" si="184"/>
        <v>0</v>
      </c>
      <c r="K390" s="242">
        <f t="shared" si="184"/>
        <v>0</v>
      </c>
      <c r="L390" s="242">
        <f t="shared" si="184"/>
        <v>0</v>
      </c>
      <c r="M390" s="242">
        <f t="shared" si="184"/>
        <v>0</v>
      </c>
      <c r="N390" s="242">
        <f t="shared" si="184"/>
        <v>0</v>
      </c>
      <c r="O390" s="242">
        <f t="shared" si="184"/>
        <v>0</v>
      </c>
      <c r="P390" s="242">
        <f t="shared" si="184"/>
        <v>0</v>
      </c>
      <c r="Q390" s="242">
        <f t="shared" si="184"/>
        <v>0</v>
      </c>
      <c r="R390" s="242">
        <f t="shared" si="184"/>
        <v>0</v>
      </c>
      <c r="S390" s="242">
        <f t="shared" si="184"/>
        <v>0</v>
      </c>
      <c r="T390" s="242">
        <f t="shared" si="184"/>
        <v>0</v>
      </c>
      <c r="U390" s="242">
        <f t="shared" si="184"/>
        <v>0</v>
      </c>
      <c r="V390" s="242">
        <f t="shared" si="184"/>
        <v>0</v>
      </c>
      <c r="W390" s="242">
        <f t="shared" si="184"/>
        <v>0</v>
      </c>
      <c r="X390" s="242">
        <f t="shared" si="184"/>
        <v>0</v>
      </c>
      <c r="Y390" s="242">
        <f t="shared" si="184"/>
        <v>0</v>
      </c>
      <c r="Z390" s="242">
        <f t="shared" si="184"/>
        <v>0</v>
      </c>
      <c r="AA390" s="242">
        <f t="shared" ref="AA390:AI390" si="185">AA388+AA389</f>
        <v>0</v>
      </c>
      <c r="AB390" s="242">
        <f t="shared" si="185"/>
        <v>0</v>
      </c>
      <c r="AC390" s="242">
        <f t="shared" si="185"/>
        <v>0</v>
      </c>
      <c r="AD390" s="242">
        <f t="shared" si="185"/>
        <v>0</v>
      </c>
      <c r="AE390" s="242">
        <f t="shared" si="185"/>
        <v>0</v>
      </c>
      <c r="AF390" s="242">
        <f t="shared" si="185"/>
        <v>0</v>
      </c>
      <c r="AG390" s="242">
        <f t="shared" si="185"/>
        <v>0</v>
      </c>
      <c r="AH390" s="242">
        <f t="shared" si="185"/>
        <v>0</v>
      </c>
      <c r="AI390" s="346">
        <f t="shared" si="185"/>
        <v>0</v>
      </c>
      <c r="AJ390" s="396">
        <f t="shared" ref="AJ390" si="186">SUM(D390:AA390)</f>
        <v>0</v>
      </c>
      <c r="AK390" s="116" t="str">
        <f>CONCATENATE(IF(D390&gt;D379," * ART Patients TB positive and started on TB Treatment  for Age "&amp;D20&amp;" "&amp;D21&amp;" is more than Total Screened for TB"&amp;CHAR(10),""),IF(E390&gt;E379," * ART Patients TB positive and started on TB Treatment  for Age "&amp;D20&amp;" "&amp;E21&amp;" is more than Total Screened for TB"&amp;CHAR(10),""),IF(F390&gt;F379," * ART Patients TB positive and started on TB Treatment  for Age "&amp;F20&amp;" "&amp;F21&amp;" is more than Total Screened for TB"&amp;CHAR(10),""),IF(G390&gt;G379," * ART Patients TB positive and started on TB Treatment  for Age "&amp;F20&amp;" "&amp;G21&amp;" is more than Total Screened for TB"&amp;CHAR(10),""),IF(H390&gt;H379," * ART Patients TB positive and started on TB Treatment  for Age "&amp;H20&amp;" "&amp;H21&amp;" is more than Total Screened for TB"&amp;CHAR(10),""),IF(I390&gt;I379," * ART Patients TB positive and started on TB Treatment  for Age "&amp;H20&amp;" "&amp;I21&amp;" is more than Total Screened for TB"&amp;CHAR(10),""),IF(J390&gt;J379," * ART Patients TB positive and started on TB Treatment  for Age "&amp;J20&amp;" "&amp;J21&amp;" is more than Total Screened for TB"&amp;CHAR(10),""),IF(K390&gt;K379," * ART Patients TB positive and started on TB Treatment  for Age "&amp;J20&amp;" "&amp;K21&amp;" is more than Total Screened for TB"&amp;CHAR(10),""),IF(L390&gt;L379," * ART Patients TB positive and started on TB Treatment  for Age "&amp;L20&amp;" "&amp;L21&amp;" is more than Total Screened for TB"&amp;CHAR(10),""),IF(M390&gt;M379," * ART Patients TB positive and started on TB Treatment  for Age "&amp;L20&amp;" "&amp;M21&amp;" is more than Total Screened for TB"&amp;CHAR(10),""),IF(N390&gt;N379," * ART Patients TB positive and started on TB Treatment  for Age "&amp;N20&amp;" "&amp;N21&amp;" is more than Total Screened for TB"&amp;CHAR(10),""),IF(O390&gt;O379," * ART Patients TB positive and started on TB Treatment  for Age "&amp;N20&amp;" "&amp;O21&amp;" is more than Total Screened for TB"&amp;CHAR(10),""),IF(P390&gt;P379," * ART Patients TB positive and started on TB Treatment  for Age "&amp;P20&amp;" "&amp;P21&amp;" is more than Total Screened for TB"&amp;CHAR(10),""),IF(Q390&gt;Q379," * ART Patients TB positive and started on TB Treatment  for Age "&amp;P20&amp;" "&amp;Q21&amp;" is more than Total Screened for TB"&amp;CHAR(10),""),IF(R390&gt;R379," * ART Patients TB positive and started on TB Treatment  for Age "&amp;R20&amp;" "&amp;R21&amp;" is more than Total Screened for TB"&amp;CHAR(10),""),IF(S390&gt;S379," * ART Patients TB positive and started on TB Treatment  for Age "&amp;R20&amp;" "&amp;S21&amp;" is more than Total Screened for TB"&amp;CHAR(10),""),IF(T390&gt;T379," * ART Patients TB positive and started on TB Treatment  for Age "&amp;T20&amp;" "&amp;T21&amp;" is more than Total Screened for TB"&amp;CHAR(10),""),IF(U390&gt;U379," * ART Patients TB positive and started on TB Treatment  for Age "&amp;T20&amp;" "&amp;U21&amp;" is more than Total Screened for TB"&amp;CHAR(10),""),IF(V390&gt;V379," * ART Patients TB positive and started on TB Treatment  for Age "&amp;V20&amp;" "&amp;V21&amp;" is more than Total Screened for TB"&amp;CHAR(10),""),IF(W390&gt;W379," * ART Patients TB positive and started on TB Treatment  for Age "&amp;V20&amp;" "&amp;W21&amp;" is more than Total Screened for TB"&amp;CHAR(10),""),IF(X390&gt;X379," * ART Patients TB positive and started on TB Treatment  for Age "&amp;X20&amp;" "&amp;X21&amp;" is more than Total Screened for TB"&amp;CHAR(10),""),IF(Y390&gt;Y379," * ART Patients TB positive and started on TB Treatment  for Age "&amp;X20&amp;" "&amp;Y21&amp;" is more than Total Screened for TB"&amp;CHAR(10),""),IF(Z390&gt;Z379," * ART Patients TB positive and started on TB Treatment  for Age "&amp;Z20&amp;" "&amp;Z21&amp;" is more than Total Screened for TB"&amp;CHAR(10),""),IF(AA390&gt;AA379," * ART Patients TB positive and started on TB Treatment  for Age "&amp;Z20&amp;" "&amp;AA21&amp;" is more than Total Screened for TB"&amp;CHAR(10),""))</f>
        <v/>
      </c>
      <c r="AL390" s="1353"/>
      <c r="AM390" s="31"/>
      <c r="AN390" s="1345"/>
      <c r="AO390" s="13">
        <v>285</v>
      </c>
      <c r="AP390" s="74"/>
      <c r="AQ390" s="75"/>
    </row>
    <row r="391" spans="1:43" ht="26.25" hidden="1" x14ac:dyDescent="0.4">
      <c r="A391" s="1360" t="s">
        <v>576</v>
      </c>
      <c r="B391" s="107" t="s">
        <v>894</v>
      </c>
      <c r="C391" s="558" t="s">
        <v>580</v>
      </c>
      <c r="D391" s="247">
        <f t="shared" ref="D391:AA391" si="187">D8+D11+D15</f>
        <v>0</v>
      </c>
      <c r="E391" s="247">
        <f t="shared" si="187"/>
        <v>0</v>
      </c>
      <c r="F391" s="247">
        <f t="shared" si="187"/>
        <v>0</v>
      </c>
      <c r="G391" s="247">
        <f t="shared" si="187"/>
        <v>0</v>
      </c>
      <c r="H391" s="247">
        <f t="shared" si="187"/>
        <v>0</v>
      </c>
      <c r="I391" s="247">
        <f t="shared" si="187"/>
        <v>0</v>
      </c>
      <c r="J391" s="247">
        <f t="shared" si="187"/>
        <v>0</v>
      </c>
      <c r="K391" s="247">
        <f t="shared" si="187"/>
        <v>0</v>
      </c>
      <c r="L391" s="247">
        <f t="shared" si="187"/>
        <v>0</v>
      </c>
      <c r="M391" s="247">
        <f t="shared" si="187"/>
        <v>0</v>
      </c>
      <c r="N391" s="247">
        <f t="shared" si="187"/>
        <v>0</v>
      </c>
      <c r="O391" s="247">
        <f t="shared" si="187"/>
        <v>0</v>
      </c>
      <c r="P391" s="247">
        <f t="shared" si="187"/>
        <v>0</v>
      </c>
      <c r="Q391" s="247">
        <f t="shared" si="187"/>
        <v>0</v>
      </c>
      <c r="R391" s="247">
        <f t="shared" si="187"/>
        <v>0</v>
      </c>
      <c r="S391" s="247">
        <f t="shared" si="187"/>
        <v>0</v>
      </c>
      <c r="T391" s="247">
        <f t="shared" si="187"/>
        <v>0</v>
      </c>
      <c r="U391" s="247">
        <f t="shared" si="187"/>
        <v>0</v>
      </c>
      <c r="V391" s="247">
        <f t="shared" si="187"/>
        <v>0</v>
      </c>
      <c r="W391" s="247">
        <f t="shared" si="187"/>
        <v>0</v>
      </c>
      <c r="X391" s="247">
        <f t="shared" si="187"/>
        <v>0</v>
      </c>
      <c r="Y391" s="247">
        <f t="shared" si="187"/>
        <v>0</v>
      </c>
      <c r="Z391" s="247">
        <f t="shared" si="187"/>
        <v>0</v>
      </c>
      <c r="AA391" s="462">
        <f t="shared" si="187"/>
        <v>0</v>
      </c>
      <c r="AB391" s="464"/>
      <c r="AC391" s="463"/>
      <c r="AD391" s="463"/>
      <c r="AE391" s="463"/>
      <c r="AF391" s="463"/>
      <c r="AG391" s="463"/>
      <c r="AH391" s="463"/>
      <c r="AI391" s="465"/>
      <c r="AJ391" s="247">
        <f>AJ8+AJ11+AJ15</f>
        <v>0</v>
      </c>
      <c r="AK391" s="116"/>
      <c r="AL391" s="1181" t="str">
        <f>CONCATENATE(AK391,AK392,AK393,AK394,AK395,AK396,AK397,AK398)</f>
        <v/>
      </c>
      <c r="AM391" s="31"/>
      <c r="AN391" s="1346" t="str">
        <f>CONCATENATE(AM391,AM392,AM393,AM394,AM395,AM396,AM397,AM398)</f>
        <v/>
      </c>
      <c r="AO391" s="13">
        <v>286</v>
      </c>
      <c r="AP391" s="74"/>
      <c r="AQ391" s="75"/>
    </row>
    <row r="392" spans="1:43" ht="30.75" customHeight="1" x14ac:dyDescent="0.4">
      <c r="A392" s="1361"/>
      <c r="B392" s="76" t="s">
        <v>906</v>
      </c>
      <c r="C392" s="559" t="s">
        <v>581</v>
      </c>
      <c r="D392" s="237"/>
      <c r="E392" s="79"/>
      <c r="F392" s="79"/>
      <c r="G392" s="79"/>
      <c r="H392" s="79"/>
      <c r="I392" s="79"/>
      <c r="J392" s="79"/>
      <c r="K392" s="79"/>
      <c r="L392" s="79"/>
      <c r="M392" s="79"/>
      <c r="N392" s="79"/>
      <c r="O392" s="79"/>
      <c r="P392" s="79"/>
      <c r="Q392" s="79"/>
      <c r="R392" s="79"/>
      <c r="S392" s="79"/>
      <c r="T392" s="79"/>
      <c r="U392" s="79"/>
      <c r="V392" s="79"/>
      <c r="W392" s="79"/>
      <c r="X392" s="79"/>
      <c r="Y392" s="79"/>
      <c r="Z392" s="79"/>
      <c r="AA392" s="307"/>
      <c r="AB392" s="375"/>
      <c r="AC392" s="345"/>
      <c r="AD392" s="345"/>
      <c r="AE392" s="345"/>
      <c r="AF392" s="345"/>
      <c r="AG392" s="345"/>
      <c r="AH392" s="345"/>
      <c r="AI392" s="302"/>
      <c r="AJ392" s="173">
        <f>SUM(D392:AA392)</f>
        <v>0</v>
      </c>
      <c r="AK392" s="116"/>
      <c r="AL392" s="1182"/>
      <c r="AM392" s="31"/>
      <c r="AN392" s="1344"/>
      <c r="AO392" s="13">
        <v>287</v>
      </c>
      <c r="AP392" s="74"/>
      <c r="AQ392" s="75"/>
    </row>
    <row r="393" spans="1:43" ht="26.25" x14ac:dyDescent="0.4">
      <c r="A393" s="1361"/>
      <c r="B393" s="76" t="s">
        <v>563</v>
      </c>
      <c r="C393" s="559" t="s">
        <v>582</v>
      </c>
      <c r="D393" s="237"/>
      <c r="E393" s="237"/>
      <c r="F393" s="237"/>
      <c r="G393" s="237"/>
      <c r="H393" s="237"/>
      <c r="I393" s="237"/>
      <c r="J393" s="237"/>
      <c r="K393" s="237"/>
      <c r="L393" s="237"/>
      <c r="M393" s="237"/>
      <c r="N393" s="237"/>
      <c r="O393" s="237"/>
      <c r="P393" s="237"/>
      <c r="Q393" s="237"/>
      <c r="R393" s="237"/>
      <c r="S393" s="237"/>
      <c r="T393" s="237"/>
      <c r="U393" s="237"/>
      <c r="V393" s="237"/>
      <c r="W393" s="237"/>
      <c r="X393" s="237"/>
      <c r="Y393" s="237"/>
      <c r="Z393" s="237"/>
      <c r="AA393" s="349"/>
      <c r="AB393" s="375"/>
      <c r="AC393" s="345"/>
      <c r="AD393" s="345"/>
      <c r="AE393" s="345"/>
      <c r="AF393" s="345"/>
      <c r="AG393" s="345"/>
      <c r="AH393" s="345"/>
      <c r="AI393" s="302"/>
      <c r="AJ393" s="173">
        <f t="shared" ref="AJ393:AJ398" si="188">SUM(D393:AA393)</f>
        <v>0</v>
      </c>
      <c r="AK393" s="116"/>
      <c r="AL393" s="1182"/>
      <c r="AM393" s="31"/>
      <c r="AN393" s="1344"/>
      <c r="AO393" s="13">
        <v>288</v>
      </c>
      <c r="AP393" s="74"/>
      <c r="AQ393" s="75"/>
    </row>
    <row r="394" spans="1:43" ht="26.25" x14ac:dyDescent="0.4">
      <c r="A394" s="1361"/>
      <c r="B394" s="76" t="s">
        <v>953</v>
      </c>
      <c r="C394" s="559" t="s">
        <v>583</v>
      </c>
      <c r="D394" s="237"/>
      <c r="E394" s="237"/>
      <c r="F394" s="237"/>
      <c r="G394" s="237"/>
      <c r="H394" s="237"/>
      <c r="I394" s="237"/>
      <c r="J394" s="237"/>
      <c r="K394" s="237"/>
      <c r="L394" s="237"/>
      <c r="M394" s="237"/>
      <c r="N394" s="237"/>
      <c r="O394" s="237"/>
      <c r="P394" s="237"/>
      <c r="Q394" s="237"/>
      <c r="R394" s="237"/>
      <c r="S394" s="237"/>
      <c r="T394" s="237"/>
      <c r="U394" s="237"/>
      <c r="V394" s="237"/>
      <c r="W394" s="237"/>
      <c r="X394" s="237"/>
      <c r="Y394" s="237"/>
      <c r="Z394" s="237"/>
      <c r="AA394" s="349"/>
      <c r="AB394" s="375"/>
      <c r="AC394" s="345"/>
      <c r="AD394" s="345"/>
      <c r="AE394" s="345"/>
      <c r="AF394" s="345"/>
      <c r="AG394" s="345"/>
      <c r="AH394" s="345"/>
      <c r="AI394" s="302"/>
      <c r="AJ394" s="173">
        <f t="shared" si="188"/>
        <v>0</v>
      </c>
      <c r="AK394" s="116"/>
      <c r="AL394" s="1182"/>
      <c r="AM394" s="31"/>
      <c r="AN394" s="1344"/>
      <c r="AO394" s="13">
        <v>289</v>
      </c>
      <c r="AP394" s="74"/>
      <c r="AQ394" s="75"/>
    </row>
    <row r="395" spans="1:43" ht="26.25" x14ac:dyDescent="0.4">
      <c r="A395" s="1361"/>
      <c r="B395" s="76" t="s">
        <v>954</v>
      </c>
      <c r="C395" s="559" t="s">
        <v>584</v>
      </c>
      <c r="D395" s="237"/>
      <c r="E395" s="237"/>
      <c r="F395" s="237"/>
      <c r="G395" s="237"/>
      <c r="H395" s="237"/>
      <c r="I395" s="237"/>
      <c r="J395" s="237"/>
      <c r="K395" s="237"/>
      <c r="L395" s="237"/>
      <c r="M395" s="237"/>
      <c r="N395" s="237"/>
      <c r="O395" s="237"/>
      <c r="P395" s="237"/>
      <c r="Q395" s="237"/>
      <c r="R395" s="237"/>
      <c r="S395" s="237"/>
      <c r="T395" s="237"/>
      <c r="U395" s="237"/>
      <c r="V395" s="237"/>
      <c r="W395" s="237"/>
      <c r="X395" s="237"/>
      <c r="Y395" s="237"/>
      <c r="Z395" s="237"/>
      <c r="AA395" s="349"/>
      <c r="AB395" s="375"/>
      <c r="AC395" s="345"/>
      <c r="AD395" s="345"/>
      <c r="AE395" s="345"/>
      <c r="AF395" s="345"/>
      <c r="AG395" s="345"/>
      <c r="AH395" s="345"/>
      <c r="AI395" s="302"/>
      <c r="AJ395" s="173">
        <f t="shared" si="188"/>
        <v>0</v>
      </c>
      <c r="AK395" s="116"/>
      <c r="AL395" s="1182"/>
      <c r="AM395" s="31"/>
      <c r="AN395" s="1344"/>
      <c r="AO395" s="13">
        <v>290</v>
      </c>
      <c r="AP395" s="74"/>
      <c r="AQ395" s="75"/>
    </row>
    <row r="396" spans="1:43" ht="26.25" x14ac:dyDescent="0.4">
      <c r="A396" s="1361"/>
      <c r="B396" s="76" t="s">
        <v>955</v>
      </c>
      <c r="C396" s="559" t="s">
        <v>585</v>
      </c>
      <c r="D396" s="237"/>
      <c r="E396" s="237"/>
      <c r="F396" s="237"/>
      <c r="G396" s="237"/>
      <c r="H396" s="237"/>
      <c r="I396" s="237"/>
      <c r="J396" s="237"/>
      <c r="K396" s="237"/>
      <c r="L396" s="237"/>
      <c r="M396" s="237"/>
      <c r="N396" s="237"/>
      <c r="O396" s="237"/>
      <c r="P396" s="237"/>
      <c r="Q396" s="237"/>
      <c r="R396" s="237"/>
      <c r="S396" s="237"/>
      <c r="T396" s="237"/>
      <c r="U396" s="237"/>
      <c r="V396" s="237"/>
      <c r="W396" s="237"/>
      <c r="X396" s="237"/>
      <c r="Y396" s="237"/>
      <c r="Z396" s="237"/>
      <c r="AA396" s="349"/>
      <c r="AB396" s="375"/>
      <c r="AC396" s="345"/>
      <c r="AD396" s="345"/>
      <c r="AE396" s="345"/>
      <c r="AF396" s="345"/>
      <c r="AG396" s="345"/>
      <c r="AH396" s="345"/>
      <c r="AI396" s="302"/>
      <c r="AJ396" s="173">
        <f t="shared" si="188"/>
        <v>0</v>
      </c>
      <c r="AK396" s="116"/>
      <c r="AL396" s="1182"/>
      <c r="AM396" s="31"/>
      <c r="AN396" s="1344"/>
      <c r="AO396" s="13">
        <v>291</v>
      </c>
      <c r="AP396" s="74"/>
      <c r="AQ396" s="75"/>
    </row>
    <row r="397" spans="1:43" ht="52.5" x14ac:dyDescent="0.4">
      <c r="A397" s="1361"/>
      <c r="B397" s="76" t="s">
        <v>911</v>
      </c>
      <c r="C397" s="559" t="s">
        <v>586</v>
      </c>
      <c r="D397" s="237"/>
      <c r="E397" s="237"/>
      <c r="F397" s="237"/>
      <c r="G397" s="237"/>
      <c r="H397" s="237"/>
      <c r="I397" s="237"/>
      <c r="J397" s="237"/>
      <c r="K397" s="237"/>
      <c r="L397" s="237"/>
      <c r="M397" s="237"/>
      <c r="N397" s="237"/>
      <c r="O397" s="237"/>
      <c r="P397" s="237"/>
      <c r="Q397" s="237"/>
      <c r="R397" s="237"/>
      <c r="S397" s="237"/>
      <c r="T397" s="237"/>
      <c r="U397" s="237"/>
      <c r="V397" s="237"/>
      <c r="W397" s="237"/>
      <c r="X397" s="237"/>
      <c r="Y397" s="237"/>
      <c r="Z397" s="237"/>
      <c r="AA397" s="349"/>
      <c r="AB397" s="375"/>
      <c r="AC397" s="345"/>
      <c r="AD397" s="345"/>
      <c r="AE397" s="345"/>
      <c r="AF397" s="345"/>
      <c r="AG397" s="345"/>
      <c r="AH397" s="345"/>
      <c r="AI397" s="302"/>
      <c r="AJ397" s="173">
        <f t="shared" si="188"/>
        <v>0</v>
      </c>
      <c r="AK397" s="116"/>
      <c r="AL397" s="1182"/>
      <c r="AM397" s="31"/>
      <c r="AN397" s="1344"/>
      <c r="AO397" s="13">
        <v>292</v>
      </c>
      <c r="AP397" s="74"/>
      <c r="AQ397" s="75"/>
    </row>
    <row r="398" spans="1:43" ht="27" thickBot="1" x14ac:dyDescent="0.45">
      <c r="A398" s="1378"/>
      <c r="B398" s="118" t="s">
        <v>910</v>
      </c>
      <c r="C398" s="560" t="s">
        <v>790</v>
      </c>
      <c r="D398" s="248"/>
      <c r="E398" s="248"/>
      <c r="F398" s="248"/>
      <c r="G398" s="248"/>
      <c r="H398" s="248"/>
      <c r="I398" s="248"/>
      <c r="J398" s="248"/>
      <c r="K398" s="248"/>
      <c r="L398" s="248"/>
      <c r="M398" s="248"/>
      <c r="N398" s="248"/>
      <c r="O398" s="248"/>
      <c r="P398" s="248"/>
      <c r="Q398" s="248"/>
      <c r="R398" s="248"/>
      <c r="S398" s="248"/>
      <c r="T398" s="248"/>
      <c r="U398" s="248"/>
      <c r="V398" s="248"/>
      <c r="W398" s="248"/>
      <c r="X398" s="248"/>
      <c r="Y398" s="248"/>
      <c r="Z398" s="248"/>
      <c r="AA398" s="350"/>
      <c r="AB398" s="376"/>
      <c r="AC398" s="377"/>
      <c r="AD398" s="377"/>
      <c r="AE398" s="377"/>
      <c r="AF398" s="377"/>
      <c r="AG398" s="377"/>
      <c r="AH398" s="377"/>
      <c r="AI398" s="303"/>
      <c r="AJ398" s="173">
        <f t="shared" si="188"/>
        <v>0</v>
      </c>
      <c r="AK398" s="122"/>
      <c r="AL398" s="1183"/>
      <c r="AM398" s="123"/>
      <c r="AN398" s="1347"/>
      <c r="AO398" s="13">
        <v>293</v>
      </c>
      <c r="AP398" s="74"/>
      <c r="AQ398" s="75"/>
    </row>
    <row r="399" spans="1:43" ht="27" hidden="1" thickBot="1" x14ac:dyDescent="0.45">
      <c r="A399" s="1120" t="s">
        <v>118</v>
      </c>
      <c r="B399" s="1118"/>
      <c r="C399" s="1118"/>
      <c r="D399" s="1118"/>
      <c r="E399" s="1118"/>
      <c r="F399" s="1118"/>
      <c r="G399" s="1118"/>
      <c r="H399" s="1118"/>
      <c r="I399" s="1118"/>
      <c r="J399" s="1118"/>
      <c r="K399" s="1118"/>
      <c r="L399" s="1118"/>
      <c r="M399" s="1118"/>
      <c r="N399" s="1118"/>
      <c r="O399" s="1118"/>
      <c r="P399" s="1118"/>
      <c r="Q399" s="1118"/>
      <c r="R399" s="1118"/>
      <c r="S399" s="1118"/>
      <c r="T399" s="1118"/>
      <c r="U399" s="1118"/>
      <c r="V399" s="1118"/>
      <c r="W399" s="1118"/>
      <c r="X399" s="1118"/>
      <c r="Y399" s="1118"/>
      <c r="Z399" s="1118"/>
      <c r="AA399" s="1118"/>
      <c r="AB399" s="1116"/>
      <c r="AC399" s="1116"/>
      <c r="AD399" s="1116"/>
      <c r="AE399" s="1116"/>
      <c r="AF399" s="1116"/>
      <c r="AG399" s="1116"/>
      <c r="AH399" s="1116"/>
      <c r="AI399" s="1116"/>
      <c r="AJ399" s="1118"/>
      <c r="AK399" s="1118"/>
      <c r="AL399" s="1118"/>
      <c r="AM399" s="1118"/>
      <c r="AN399" s="1119"/>
      <c r="AO399" s="13">
        <v>294</v>
      </c>
      <c r="AP399" s="74"/>
      <c r="AQ399" s="75"/>
    </row>
    <row r="400" spans="1:43" ht="26.25" hidden="1" customHeight="1" x14ac:dyDescent="0.4">
      <c r="A400" s="1164" t="s">
        <v>36</v>
      </c>
      <c r="B400" s="1160" t="s">
        <v>321</v>
      </c>
      <c r="C400" s="1162" t="s">
        <v>305</v>
      </c>
      <c r="D400" s="1251" t="s">
        <v>0</v>
      </c>
      <c r="E400" s="1251"/>
      <c r="F400" s="1251" t="s">
        <v>1</v>
      </c>
      <c r="G400" s="1251"/>
      <c r="H400" s="1251" t="s">
        <v>2</v>
      </c>
      <c r="I400" s="1251"/>
      <c r="J400" s="1251" t="s">
        <v>3</v>
      </c>
      <c r="K400" s="1251"/>
      <c r="L400" s="1251" t="s">
        <v>4</v>
      </c>
      <c r="M400" s="1251"/>
      <c r="N400" s="1251" t="s">
        <v>5</v>
      </c>
      <c r="O400" s="1251"/>
      <c r="P400" s="1251" t="s">
        <v>6</v>
      </c>
      <c r="Q400" s="1251"/>
      <c r="R400" s="1251" t="s">
        <v>7</v>
      </c>
      <c r="S400" s="1251"/>
      <c r="T400" s="1251" t="s">
        <v>8</v>
      </c>
      <c r="U400" s="1251"/>
      <c r="V400" s="1251" t="s">
        <v>23</v>
      </c>
      <c r="W400" s="1251"/>
      <c r="X400" s="1251" t="s">
        <v>24</v>
      </c>
      <c r="Y400" s="1251"/>
      <c r="Z400" s="1251" t="s">
        <v>9</v>
      </c>
      <c r="AA400" s="1251"/>
      <c r="AB400" s="297"/>
      <c r="AC400" s="297"/>
      <c r="AD400" s="297"/>
      <c r="AE400" s="297"/>
      <c r="AF400" s="297"/>
      <c r="AG400" s="297"/>
      <c r="AH400" s="484"/>
      <c r="AI400" s="484"/>
      <c r="AJ400" s="1379" t="s">
        <v>19</v>
      </c>
      <c r="AK400" s="1381" t="s">
        <v>354</v>
      </c>
      <c r="AL400" s="1187" t="s">
        <v>360</v>
      </c>
      <c r="AM400" s="1179" t="s">
        <v>361</v>
      </c>
      <c r="AN400" s="1391" t="s">
        <v>361</v>
      </c>
      <c r="AO400" s="13">
        <v>295</v>
      </c>
      <c r="AP400" s="74"/>
      <c r="AQ400" s="75"/>
    </row>
    <row r="401" spans="1:43" ht="27" hidden="1" customHeight="1" thickBot="1" x14ac:dyDescent="0.45">
      <c r="A401" s="1165"/>
      <c r="B401" s="1161"/>
      <c r="C401" s="1231"/>
      <c r="D401" s="115" t="s">
        <v>10</v>
      </c>
      <c r="E401" s="115" t="s">
        <v>11</v>
      </c>
      <c r="F401" s="115" t="s">
        <v>10</v>
      </c>
      <c r="G401" s="115" t="s">
        <v>11</v>
      </c>
      <c r="H401" s="115" t="s">
        <v>10</v>
      </c>
      <c r="I401" s="115" t="s">
        <v>11</v>
      </c>
      <c r="J401" s="115" t="s">
        <v>10</v>
      </c>
      <c r="K401" s="115" t="s">
        <v>11</v>
      </c>
      <c r="L401" s="115" t="s">
        <v>10</v>
      </c>
      <c r="M401" s="115" t="s">
        <v>11</v>
      </c>
      <c r="N401" s="115" t="s">
        <v>10</v>
      </c>
      <c r="O401" s="115" t="s">
        <v>11</v>
      </c>
      <c r="P401" s="115" t="s">
        <v>10</v>
      </c>
      <c r="Q401" s="115" t="s">
        <v>11</v>
      </c>
      <c r="R401" s="115" t="s">
        <v>10</v>
      </c>
      <c r="S401" s="115" t="s">
        <v>11</v>
      </c>
      <c r="T401" s="115" t="s">
        <v>10</v>
      </c>
      <c r="U401" s="115" t="s">
        <v>11</v>
      </c>
      <c r="V401" s="115" t="s">
        <v>10</v>
      </c>
      <c r="W401" s="115" t="s">
        <v>11</v>
      </c>
      <c r="X401" s="115" t="s">
        <v>10</v>
      </c>
      <c r="Y401" s="115" t="s">
        <v>11</v>
      </c>
      <c r="Z401" s="115" t="s">
        <v>10</v>
      </c>
      <c r="AA401" s="115" t="s">
        <v>11</v>
      </c>
      <c r="AB401" s="115"/>
      <c r="AC401" s="115"/>
      <c r="AD401" s="115"/>
      <c r="AE401" s="115"/>
      <c r="AF401" s="115"/>
      <c r="AG401" s="115"/>
      <c r="AH401" s="115"/>
      <c r="AI401" s="115"/>
      <c r="AJ401" s="1380"/>
      <c r="AK401" s="1382"/>
      <c r="AL401" s="1138"/>
      <c r="AM401" s="1132"/>
      <c r="AN401" s="1392"/>
      <c r="AO401" s="13">
        <v>296</v>
      </c>
      <c r="AP401" s="74"/>
      <c r="AQ401" s="75"/>
    </row>
    <row r="402" spans="1:43" ht="26.25" hidden="1" x14ac:dyDescent="0.4">
      <c r="A402" s="1191" t="s">
        <v>363</v>
      </c>
      <c r="B402" s="91" t="s">
        <v>369</v>
      </c>
      <c r="C402" s="558" t="s">
        <v>370</v>
      </c>
      <c r="D402" s="249"/>
      <c r="E402" s="250"/>
      <c r="F402" s="250"/>
      <c r="G402" s="250"/>
      <c r="H402" s="250"/>
      <c r="I402" s="250"/>
      <c r="J402" s="250"/>
      <c r="K402" s="250"/>
      <c r="L402" s="250"/>
      <c r="M402" s="250"/>
      <c r="N402" s="250"/>
      <c r="O402" s="250"/>
      <c r="P402" s="250"/>
      <c r="Q402" s="250"/>
      <c r="R402" s="250"/>
      <c r="S402" s="250"/>
      <c r="T402" s="250"/>
      <c r="U402" s="250"/>
      <c r="V402" s="250"/>
      <c r="W402" s="250"/>
      <c r="X402" s="250"/>
      <c r="Y402" s="250"/>
      <c r="Z402" s="250"/>
      <c r="AA402" s="250"/>
      <c r="AB402" s="351"/>
      <c r="AC402" s="351"/>
      <c r="AD402" s="351"/>
      <c r="AE402" s="351"/>
      <c r="AF402" s="351"/>
      <c r="AG402" s="351"/>
      <c r="AH402" s="351"/>
      <c r="AI402" s="351"/>
      <c r="AJ402" s="65">
        <f t="shared" ref="AJ402:AJ412" si="189">SUM(D402:AA402)</f>
        <v>0</v>
      </c>
      <c r="AK402" s="251"/>
      <c r="AL402" s="1373" t="str">
        <f>CONCATENATE(AK408,AK411,AK413,AK414,AK415,AK416,AK417,AK418,AK419,AK420)</f>
        <v/>
      </c>
      <c r="AM402" s="252"/>
      <c r="AN402" s="1371" t="str">
        <f>CONCATENATE(AM408,AM411,AM413,AM414,AM415,AM416,AM417,AM418,AM419,AM420)</f>
        <v/>
      </c>
      <c r="AO402" s="13">
        <v>297</v>
      </c>
      <c r="AP402" s="74"/>
      <c r="AQ402" s="75"/>
    </row>
    <row r="403" spans="1:43" ht="26.25" hidden="1" x14ac:dyDescent="0.4">
      <c r="A403" s="1192"/>
      <c r="B403" s="76" t="s">
        <v>364</v>
      </c>
      <c r="C403" s="559" t="s">
        <v>371</v>
      </c>
      <c r="D403" s="253"/>
      <c r="E403" s="254"/>
      <c r="F403" s="254"/>
      <c r="G403" s="254"/>
      <c r="H403" s="254"/>
      <c r="I403" s="254"/>
      <c r="J403" s="254"/>
      <c r="K403" s="254"/>
      <c r="L403" s="254"/>
      <c r="M403" s="254"/>
      <c r="N403" s="254"/>
      <c r="O403" s="254"/>
      <c r="P403" s="254"/>
      <c r="Q403" s="254"/>
      <c r="R403" s="254"/>
      <c r="S403" s="254"/>
      <c r="T403" s="254"/>
      <c r="U403" s="254"/>
      <c r="V403" s="254"/>
      <c r="W403" s="254"/>
      <c r="X403" s="254"/>
      <c r="Y403" s="254"/>
      <c r="Z403" s="254"/>
      <c r="AA403" s="254"/>
      <c r="AB403" s="352"/>
      <c r="AC403" s="352"/>
      <c r="AD403" s="352"/>
      <c r="AE403" s="352"/>
      <c r="AF403" s="352"/>
      <c r="AG403" s="352"/>
      <c r="AH403" s="352"/>
      <c r="AI403" s="352"/>
      <c r="AJ403" s="29">
        <f t="shared" si="189"/>
        <v>0</v>
      </c>
      <c r="AK403" s="251"/>
      <c r="AL403" s="1374"/>
      <c r="AM403" s="252"/>
      <c r="AN403" s="1372"/>
      <c r="AO403" s="13">
        <v>298</v>
      </c>
      <c r="AP403" s="74"/>
      <c r="AQ403" s="75"/>
    </row>
    <row r="404" spans="1:43" ht="26.25" hidden="1" x14ac:dyDescent="0.4">
      <c r="A404" s="1192"/>
      <c r="B404" s="76" t="s">
        <v>365</v>
      </c>
      <c r="C404" s="559" t="s">
        <v>372</v>
      </c>
      <c r="D404" s="253"/>
      <c r="E404" s="254"/>
      <c r="F404" s="254"/>
      <c r="G404" s="254"/>
      <c r="H404" s="254"/>
      <c r="I404" s="254"/>
      <c r="J404" s="254"/>
      <c r="K404" s="254"/>
      <c r="L404" s="254"/>
      <c r="M404" s="254"/>
      <c r="N404" s="254"/>
      <c r="O404" s="254"/>
      <c r="P404" s="254"/>
      <c r="Q404" s="254"/>
      <c r="R404" s="254"/>
      <c r="S404" s="254"/>
      <c r="T404" s="254"/>
      <c r="U404" s="254"/>
      <c r="V404" s="254"/>
      <c r="W404" s="254"/>
      <c r="X404" s="254"/>
      <c r="Y404" s="254"/>
      <c r="Z404" s="254"/>
      <c r="AA404" s="254"/>
      <c r="AB404" s="352"/>
      <c r="AC404" s="352"/>
      <c r="AD404" s="352"/>
      <c r="AE404" s="352"/>
      <c r="AF404" s="352"/>
      <c r="AG404" s="352"/>
      <c r="AH404" s="352"/>
      <c r="AI404" s="352"/>
      <c r="AJ404" s="29">
        <f t="shared" si="189"/>
        <v>0</v>
      </c>
      <c r="AK404" s="251"/>
      <c r="AL404" s="1374"/>
      <c r="AM404" s="252"/>
      <c r="AN404" s="1372"/>
      <c r="AO404" s="13">
        <v>299</v>
      </c>
      <c r="AP404" s="74"/>
      <c r="AQ404" s="75"/>
    </row>
    <row r="405" spans="1:43" ht="26.25" hidden="1" x14ac:dyDescent="0.4">
      <c r="A405" s="1192"/>
      <c r="B405" s="76" t="s">
        <v>366</v>
      </c>
      <c r="C405" s="559" t="s">
        <v>373</v>
      </c>
      <c r="D405" s="253"/>
      <c r="E405" s="254"/>
      <c r="F405" s="254"/>
      <c r="G405" s="254"/>
      <c r="H405" s="254"/>
      <c r="I405" s="254"/>
      <c r="J405" s="254"/>
      <c r="K405" s="254"/>
      <c r="L405" s="254"/>
      <c r="M405" s="254"/>
      <c r="N405" s="254"/>
      <c r="O405" s="254"/>
      <c r="P405" s="254"/>
      <c r="Q405" s="254"/>
      <c r="R405" s="254"/>
      <c r="S405" s="254"/>
      <c r="T405" s="254"/>
      <c r="U405" s="254"/>
      <c r="V405" s="254"/>
      <c r="W405" s="254"/>
      <c r="X405" s="254"/>
      <c r="Y405" s="254"/>
      <c r="Z405" s="254"/>
      <c r="AA405" s="254"/>
      <c r="AB405" s="352"/>
      <c r="AC405" s="352"/>
      <c r="AD405" s="352"/>
      <c r="AE405" s="352"/>
      <c r="AF405" s="352"/>
      <c r="AG405" s="352"/>
      <c r="AH405" s="352"/>
      <c r="AI405" s="352"/>
      <c r="AJ405" s="29">
        <f t="shared" si="189"/>
        <v>0</v>
      </c>
      <c r="AK405" s="251"/>
      <c r="AL405" s="1374"/>
      <c r="AM405" s="252"/>
      <c r="AN405" s="1372"/>
      <c r="AO405" s="13">
        <v>300</v>
      </c>
      <c r="AP405" s="74"/>
      <c r="AQ405" s="75"/>
    </row>
    <row r="406" spans="1:43" ht="26.25" hidden="1" x14ac:dyDescent="0.4">
      <c r="A406" s="1192"/>
      <c r="B406" s="76" t="s">
        <v>367</v>
      </c>
      <c r="C406" s="559" t="s">
        <v>374</v>
      </c>
      <c r="D406" s="253"/>
      <c r="E406" s="254"/>
      <c r="F406" s="254"/>
      <c r="G406" s="254"/>
      <c r="H406" s="254"/>
      <c r="I406" s="254"/>
      <c r="J406" s="254"/>
      <c r="K406" s="254"/>
      <c r="L406" s="254"/>
      <c r="M406" s="254"/>
      <c r="N406" s="254"/>
      <c r="O406" s="254"/>
      <c r="P406" s="254"/>
      <c r="Q406" s="254"/>
      <c r="R406" s="254"/>
      <c r="S406" s="254"/>
      <c r="T406" s="254"/>
      <c r="U406" s="254"/>
      <c r="V406" s="254"/>
      <c r="W406" s="254"/>
      <c r="X406" s="254"/>
      <c r="Y406" s="254"/>
      <c r="Z406" s="254"/>
      <c r="AA406" s="254"/>
      <c r="AB406" s="352"/>
      <c r="AC406" s="352"/>
      <c r="AD406" s="352"/>
      <c r="AE406" s="352"/>
      <c r="AF406" s="352"/>
      <c r="AG406" s="352"/>
      <c r="AH406" s="352"/>
      <c r="AI406" s="352"/>
      <c r="AJ406" s="29">
        <f t="shared" si="189"/>
        <v>0</v>
      </c>
      <c r="AK406" s="251"/>
      <c r="AL406" s="1374"/>
      <c r="AM406" s="252"/>
      <c r="AN406" s="1372"/>
      <c r="AO406" s="13">
        <v>301</v>
      </c>
      <c r="AP406" s="74"/>
      <c r="AQ406" s="75"/>
    </row>
    <row r="407" spans="1:43" ht="27" hidden="1" thickBot="1" x14ac:dyDescent="0.45">
      <c r="A407" s="1193"/>
      <c r="B407" s="87" t="s">
        <v>368</v>
      </c>
      <c r="C407" s="560" t="s">
        <v>375</v>
      </c>
      <c r="D407" s="255"/>
      <c r="E407" s="256"/>
      <c r="F407" s="256"/>
      <c r="G407" s="256"/>
      <c r="H407" s="256"/>
      <c r="I407" s="256"/>
      <c r="J407" s="256"/>
      <c r="K407" s="256"/>
      <c r="L407" s="256"/>
      <c r="M407" s="256"/>
      <c r="N407" s="256"/>
      <c r="O407" s="256"/>
      <c r="P407" s="256"/>
      <c r="Q407" s="256"/>
      <c r="R407" s="256"/>
      <c r="S407" s="256"/>
      <c r="T407" s="256"/>
      <c r="U407" s="256"/>
      <c r="V407" s="256"/>
      <c r="W407" s="256"/>
      <c r="X407" s="256"/>
      <c r="Y407" s="256"/>
      <c r="Z407" s="256"/>
      <c r="AA407" s="256"/>
      <c r="AB407" s="353"/>
      <c r="AC407" s="353"/>
      <c r="AD407" s="353"/>
      <c r="AE407" s="353"/>
      <c r="AF407" s="353"/>
      <c r="AG407" s="353"/>
      <c r="AH407" s="353"/>
      <c r="AI407" s="353"/>
      <c r="AJ407" s="90">
        <f t="shared" si="189"/>
        <v>0</v>
      </c>
      <c r="AK407" s="251"/>
      <c r="AL407" s="1374"/>
      <c r="AM407" s="252"/>
      <c r="AN407" s="1372"/>
      <c r="AO407" s="13">
        <v>302</v>
      </c>
      <c r="AP407" s="74"/>
      <c r="AQ407" s="75"/>
    </row>
    <row r="408" spans="1:43" ht="26.25" hidden="1" x14ac:dyDescent="0.4">
      <c r="A408" s="1136" t="s">
        <v>27</v>
      </c>
      <c r="B408" s="91" t="s">
        <v>670</v>
      </c>
      <c r="C408" s="558" t="s">
        <v>282</v>
      </c>
      <c r="D408" s="236"/>
      <c r="E408" s="94"/>
      <c r="F408" s="94"/>
      <c r="G408" s="94"/>
      <c r="H408" s="94"/>
      <c r="I408" s="94"/>
      <c r="J408" s="94"/>
      <c r="K408" s="94"/>
      <c r="L408" s="94"/>
      <c r="M408" s="94"/>
      <c r="N408" s="94"/>
      <c r="O408" s="94"/>
      <c r="P408" s="94"/>
      <c r="Q408" s="94"/>
      <c r="R408" s="94"/>
      <c r="S408" s="94"/>
      <c r="T408" s="94"/>
      <c r="U408" s="94"/>
      <c r="V408" s="94"/>
      <c r="W408" s="94"/>
      <c r="X408" s="94"/>
      <c r="Y408" s="94"/>
      <c r="Z408" s="94"/>
      <c r="AA408" s="94"/>
      <c r="AB408" s="310"/>
      <c r="AC408" s="310"/>
      <c r="AD408" s="310"/>
      <c r="AE408" s="310"/>
      <c r="AF408" s="310"/>
      <c r="AG408" s="310"/>
      <c r="AH408" s="310"/>
      <c r="AI408" s="310"/>
      <c r="AJ408" s="65">
        <f t="shared" si="189"/>
        <v>0</v>
      </c>
      <c r="AK408" s="116" t="str">
        <f>CONCATENATE(IF(D408&lt;SUM(D414,D415,D416,D417,D418,D419,D420)," * Total Died  for Age "&amp;D20&amp;" "&amp;D21&amp;" is less than sum of Total Causes of Death F08-05 to F08-11"&amp;CHAR(10),""),IF(E408&lt;SUM(E414,E415,E416,E417,E418,E419,E420)," * Total Died  for Age "&amp;D20&amp;" "&amp;E21&amp;" is less than sum of Total Causes of Death F08-05 to F08-11"&amp;CHAR(10),""),IF(F408&lt;SUM(F414,F415,F416,F417,F418,F419,F420)," * Total Died  for Age "&amp;F20&amp;" "&amp;F21&amp;" is less than sum of Total Causes of Death F08-05 to F08-11"&amp;CHAR(10),""),IF(G408&lt;SUM(G414,G415,G416,G417,G418,G419,G420)," * Total Died  for Age "&amp;F20&amp;" "&amp;G21&amp;" is less than sum of Total Causes of Death F08-05 to F08-11"&amp;CHAR(10),""),IF(H408&lt;SUM(H414,H415,H416,H417,H418,H419,H420)," * Total Died  for Age "&amp;H20&amp;" "&amp;H21&amp;" is less than sum of Total Causes of Death F08-05 to F08-11"&amp;CHAR(10),""),IF(I408&lt;SUM(I414,I415,I416,I417,I418,I419,I420)," * Total Died  for Age "&amp;H20&amp;" "&amp;I21&amp;" is less than sum of Total Causes of Death F08-05 to F08-11"&amp;CHAR(10),""),IF(J408&lt;SUM(J414,J415,J416,J417,J418,J419,J420)," * Total Died  for Age "&amp;J20&amp;" "&amp;J21&amp;" is less than sum of Total Causes of Death F08-05 to F08-11"&amp;CHAR(10),""),IF(K408&lt;SUM(K414,K415,K416,K417,K418,K419,K420)," * Total Died  for Age "&amp;J20&amp;" "&amp;K21&amp;" is less than sum of Total Causes of Death F08-05 to F08-11"&amp;CHAR(10),""),IF(L408&lt;SUM(L414,L415,L416,L417,L418,L419,L420)," * Total Died  for Age "&amp;L20&amp;" "&amp;L21&amp;" is less than sum of Total Causes of Death F08-05 to F08-11"&amp;CHAR(10),""),IF(M408&lt;SUM(M414,M415,M416,M417,M418,M419,M420)," * Total Died  for Age "&amp;L20&amp;" "&amp;M21&amp;" is less than sum of Total Causes of Death F08-05 to F08-11"&amp;CHAR(10),""),IF(N408&lt;SUM(N414,N415,N416,N417,N418,N419,N420)," * Total Died  for Age "&amp;N20&amp;" "&amp;N21&amp;" is less than sum of Total Causes of Death F08-05 to F08-11"&amp;CHAR(10),""),IF(O408&lt;SUM(O414,O415,O416,O417,O418,O419,O420)," * Total Died  for Age "&amp;N20&amp;" "&amp;O21&amp;" is less than sum of Total Causes of Death F08-05 to F08-11"&amp;CHAR(10),""),IF(P408&lt;SUM(P414,P415,P416,P417,P418,P419,P420)," * Total Died  for Age "&amp;P20&amp;" "&amp;P21&amp;" is less than sum of Total Causes of Death F08-05 to F08-11"&amp;CHAR(10),""),IF(Q408&lt;SUM(Q414,Q415,Q416,Q417,Q418,Q419,Q420)," * Total Died  for Age "&amp;P20&amp;" "&amp;Q21&amp;" is less than sum of Total Causes of Death F08-05 to F08-11"&amp;CHAR(10),""),IF(R408&lt;SUM(R414,R415,R416,R417,R418,R419,R420)," * Total Died  for Age "&amp;R20&amp;" "&amp;R21&amp;" is less than sum of Total Causes of Death F08-05 to F08-11"&amp;CHAR(10),""),IF(S408&lt;SUM(S414,S415,S416,S417,S418,S419,S420)," * Total Died  for Age "&amp;R20&amp;" "&amp;S21&amp;" is less than sum of Total Causes of Death F08-05 to F08-11"&amp;CHAR(10),""),IF(T408&lt;SUM(T414,T415,T416,T417,T418,T419,T420)," * Total Died  for Age "&amp;T20&amp;" "&amp;T21&amp;" is less than sum of Total Causes of Death F08-05 to F08-11"&amp;CHAR(10),""),IF(U408&lt;SUM(U414,U415,U416,U417,U418,U419,U420)," * Total Died  for Age "&amp;T20&amp;" "&amp;U21&amp;" is less than sum of Total Causes of Death F08-05 to F08-11"&amp;CHAR(10),""),IF(V408&lt;SUM(V414,V415,V416,V417,V418,V419,V420)," * Total Died  for Age "&amp;V20&amp;" "&amp;V21&amp;" is less than sum of Total Causes of Death F08-05 to F08-11"&amp;CHAR(10),""),IF(W408&lt;SUM(W414,W415,W416,W417,W418,W419,W420)," * Total Died  for Age "&amp;V20&amp;" "&amp;W21&amp;" is less than sum of Total Causes of Death F08-05 to F08-11"&amp;CHAR(10),""),IF(X408&lt;SUM(X414,X415,X416,X417,X418,X419,X420)," * Total Died  for Age "&amp;X20&amp;" "&amp;X21&amp;" is less than sum of Total Causes of Death F08-05 to F08-11"&amp;CHAR(10),""),IF(Y408&lt;SUM(Y414,Y415,Y416,Y417,Y418,Y419,Y420)," * Total Died  for Age "&amp;X20&amp;" "&amp;Y21&amp;" is less than sum of Total Causes of Death F08-05 to F08-11"&amp;CHAR(10),""),IF(Z408&lt;SUM(Z414,Z415,Z416,Z417,Z418,Z419,Z420)," * Total Died  for Age "&amp;Z20&amp;" "&amp;Z21&amp;" is less than sum of Total Causes of Death F08-05 to F08-11"&amp;CHAR(10),""),IF(AA408&lt;SUM(AA414,AA415,AA416,AA417,AA418,AA419,AA420)," * Total Died  for Age "&amp;Z20&amp;" "&amp;AA21&amp;" is less than sum of Total Causes of Death F08-05 to F08-11"&amp;CHAR(10),""))</f>
        <v/>
      </c>
      <c r="AL408" s="1374"/>
      <c r="AM408" s="31"/>
      <c r="AN408" s="1372"/>
      <c r="AO408" s="13">
        <v>303</v>
      </c>
      <c r="AP408" s="74"/>
      <c r="AQ408" s="75"/>
    </row>
    <row r="409" spans="1:43" s="61" customFormat="1" ht="26.25" hidden="1" x14ac:dyDescent="0.4">
      <c r="A409" s="1224"/>
      <c r="B409" s="76" t="s">
        <v>562</v>
      </c>
      <c r="C409" s="559" t="s">
        <v>423</v>
      </c>
      <c r="D409" s="237"/>
      <c r="E409" s="79"/>
      <c r="F409" s="79"/>
      <c r="G409" s="79"/>
      <c r="H409" s="79"/>
      <c r="I409" s="79"/>
      <c r="J409" s="79"/>
      <c r="K409" s="79"/>
      <c r="L409" s="79"/>
      <c r="M409" s="79"/>
      <c r="N409" s="79"/>
      <c r="O409" s="79"/>
      <c r="P409" s="79"/>
      <c r="Q409" s="79"/>
      <c r="R409" s="79"/>
      <c r="S409" s="79"/>
      <c r="T409" s="79"/>
      <c r="U409" s="79"/>
      <c r="V409" s="79"/>
      <c r="W409" s="79"/>
      <c r="X409" s="79"/>
      <c r="Y409" s="79"/>
      <c r="Z409" s="79"/>
      <c r="AA409" s="79"/>
      <c r="AB409" s="307"/>
      <c r="AC409" s="307"/>
      <c r="AD409" s="307"/>
      <c r="AE409" s="307"/>
      <c r="AF409" s="307"/>
      <c r="AG409" s="307"/>
      <c r="AH409" s="307"/>
      <c r="AI409" s="307"/>
      <c r="AJ409" s="29">
        <f t="shared" si="189"/>
        <v>0</v>
      </c>
      <c r="AK409" s="116"/>
      <c r="AL409" s="1374"/>
      <c r="AM409" s="60"/>
      <c r="AN409" s="1372"/>
      <c r="AO409" s="13">
        <v>304</v>
      </c>
      <c r="AP409" s="80"/>
      <c r="AQ409" s="75"/>
    </row>
    <row r="410" spans="1:43" ht="26.25" hidden="1" x14ac:dyDescent="0.4">
      <c r="A410" s="1224"/>
      <c r="B410" s="76" t="s">
        <v>427</v>
      </c>
      <c r="C410" s="559" t="s">
        <v>424</v>
      </c>
      <c r="D410" s="237"/>
      <c r="E410" s="79"/>
      <c r="F410" s="79"/>
      <c r="G410" s="79"/>
      <c r="H410" s="79"/>
      <c r="I410" s="79"/>
      <c r="J410" s="79"/>
      <c r="K410" s="79"/>
      <c r="L410" s="79"/>
      <c r="M410" s="79"/>
      <c r="N410" s="79"/>
      <c r="O410" s="79"/>
      <c r="P410" s="79"/>
      <c r="Q410" s="79"/>
      <c r="R410" s="79"/>
      <c r="S410" s="79"/>
      <c r="T410" s="79"/>
      <c r="U410" s="79"/>
      <c r="V410" s="79"/>
      <c r="W410" s="79"/>
      <c r="X410" s="79"/>
      <c r="Y410" s="79"/>
      <c r="Z410" s="79"/>
      <c r="AA410" s="79"/>
      <c r="AB410" s="307"/>
      <c r="AC410" s="307"/>
      <c r="AD410" s="307"/>
      <c r="AE410" s="307"/>
      <c r="AF410" s="307"/>
      <c r="AG410" s="307"/>
      <c r="AH410" s="307"/>
      <c r="AI410" s="307"/>
      <c r="AJ410" s="29">
        <f t="shared" si="189"/>
        <v>0</v>
      </c>
      <c r="AK410" s="116"/>
      <c r="AL410" s="1374"/>
      <c r="AM410" s="31"/>
      <c r="AN410" s="1372"/>
      <c r="AO410" s="13">
        <v>305</v>
      </c>
      <c r="AP410" s="74"/>
      <c r="AQ410" s="75"/>
    </row>
    <row r="411" spans="1:43" ht="26.25" hidden="1" x14ac:dyDescent="0.4">
      <c r="A411" s="1224"/>
      <c r="B411" s="76" t="s">
        <v>671</v>
      </c>
      <c r="C411" s="559" t="s">
        <v>425</v>
      </c>
      <c r="D411" s="237"/>
      <c r="E411" s="79"/>
      <c r="F411" s="79"/>
      <c r="G411" s="79"/>
      <c r="H411" s="79"/>
      <c r="I411" s="79"/>
      <c r="J411" s="79"/>
      <c r="K411" s="79"/>
      <c r="L411" s="79"/>
      <c r="M411" s="79"/>
      <c r="N411" s="79"/>
      <c r="O411" s="79"/>
      <c r="P411" s="79"/>
      <c r="Q411" s="79"/>
      <c r="R411" s="79"/>
      <c r="S411" s="79"/>
      <c r="T411" s="79"/>
      <c r="U411" s="79"/>
      <c r="V411" s="79"/>
      <c r="W411" s="79"/>
      <c r="X411" s="79"/>
      <c r="Y411" s="79"/>
      <c r="Z411" s="79"/>
      <c r="AA411" s="79"/>
      <c r="AB411" s="307"/>
      <c r="AC411" s="307"/>
      <c r="AD411" s="307"/>
      <c r="AE411" s="307"/>
      <c r="AF411" s="307"/>
      <c r="AG411" s="307"/>
      <c r="AH411" s="307"/>
      <c r="AI411" s="307"/>
      <c r="AJ411" s="29">
        <f t="shared" si="189"/>
        <v>0</v>
      </c>
      <c r="AK411" s="116"/>
      <c r="AL411" s="1374"/>
      <c r="AM411" s="31"/>
      <c r="AN411" s="1372"/>
      <c r="AO411" s="13">
        <v>306</v>
      </c>
      <c r="AP411" s="74"/>
      <c r="AQ411" s="75"/>
    </row>
    <row r="412" spans="1:43" ht="26.25" hidden="1" x14ac:dyDescent="0.4">
      <c r="A412" s="1224"/>
      <c r="B412" s="76" t="s">
        <v>422</v>
      </c>
      <c r="C412" s="559" t="s">
        <v>426</v>
      </c>
      <c r="D412" s="237"/>
      <c r="E412" s="79"/>
      <c r="F412" s="79"/>
      <c r="G412" s="79"/>
      <c r="H412" s="79"/>
      <c r="I412" s="79"/>
      <c r="J412" s="79"/>
      <c r="K412" s="79"/>
      <c r="L412" s="79"/>
      <c r="M412" s="79"/>
      <c r="N412" s="79"/>
      <c r="O412" s="79"/>
      <c r="P412" s="79"/>
      <c r="Q412" s="79"/>
      <c r="R412" s="79"/>
      <c r="S412" s="79"/>
      <c r="T412" s="79"/>
      <c r="U412" s="79"/>
      <c r="V412" s="79"/>
      <c r="W412" s="79"/>
      <c r="X412" s="79"/>
      <c r="Y412" s="79"/>
      <c r="Z412" s="79"/>
      <c r="AA412" s="79"/>
      <c r="AB412" s="307"/>
      <c r="AC412" s="307"/>
      <c r="AD412" s="307"/>
      <c r="AE412" s="307"/>
      <c r="AF412" s="307"/>
      <c r="AG412" s="307"/>
      <c r="AH412" s="307"/>
      <c r="AI412" s="307"/>
      <c r="AJ412" s="29">
        <f t="shared" si="189"/>
        <v>0</v>
      </c>
      <c r="AK412" s="116"/>
      <c r="AL412" s="1374"/>
      <c r="AM412" s="31"/>
      <c r="AN412" s="1372"/>
      <c r="AO412" s="13">
        <v>307</v>
      </c>
      <c r="AP412" s="74"/>
      <c r="AQ412" s="75"/>
    </row>
    <row r="413" spans="1:43" ht="27" hidden="1" thickBot="1" x14ac:dyDescent="0.45">
      <c r="A413" s="1110"/>
      <c r="B413" s="257" t="s">
        <v>434</v>
      </c>
      <c r="C413" s="580" t="s">
        <v>284</v>
      </c>
      <c r="D413" s="258">
        <f>SUM(D408:D412)</f>
        <v>0</v>
      </c>
      <c r="E413" s="259">
        <f t="shared" ref="E413:AJ413" si="190">SUM(E408:E412)</f>
        <v>0</v>
      </c>
      <c r="F413" s="259">
        <f t="shared" si="190"/>
        <v>0</v>
      </c>
      <c r="G413" s="259">
        <f t="shared" si="190"/>
        <v>0</v>
      </c>
      <c r="H413" s="259">
        <f t="shared" si="190"/>
        <v>0</v>
      </c>
      <c r="I413" s="259">
        <f t="shared" si="190"/>
        <v>0</v>
      </c>
      <c r="J413" s="259">
        <f t="shared" si="190"/>
        <v>0</v>
      </c>
      <c r="K413" s="259">
        <f t="shared" si="190"/>
        <v>0</v>
      </c>
      <c r="L413" s="259">
        <f t="shared" si="190"/>
        <v>0</v>
      </c>
      <c r="M413" s="259">
        <f t="shared" si="190"/>
        <v>0</v>
      </c>
      <c r="N413" s="259">
        <f t="shared" si="190"/>
        <v>0</v>
      </c>
      <c r="O413" s="259">
        <f t="shared" si="190"/>
        <v>0</v>
      </c>
      <c r="P413" s="259">
        <f t="shared" si="190"/>
        <v>0</v>
      </c>
      <c r="Q413" s="259">
        <f t="shared" si="190"/>
        <v>0</v>
      </c>
      <c r="R413" s="259">
        <f t="shared" si="190"/>
        <v>0</v>
      </c>
      <c r="S413" s="259">
        <f t="shared" si="190"/>
        <v>0</v>
      </c>
      <c r="T413" s="259">
        <f t="shared" si="190"/>
        <v>0</v>
      </c>
      <c r="U413" s="259">
        <f t="shared" si="190"/>
        <v>0</v>
      </c>
      <c r="V413" s="259">
        <f t="shared" si="190"/>
        <v>0</v>
      </c>
      <c r="W413" s="259">
        <f t="shared" si="190"/>
        <v>0</v>
      </c>
      <c r="X413" s="259">
        <f t="shared" si="190"/>
        <v>0</v>
      </c>
      <c r="Y413" s="259">
        <f t="shared" si="190"/>
        <v>0</v>
      </c>
      <c r="Z413" s="259">
        <f t="shared" si="190"/>
        <v>0</v>
      </c>
      <c r="AA413" s="259">
        <f t="shared" si="190"/>
        <v>0</v>
      </c>
      <c r="AB413" s="354"/>
      <c r="AC413" s="354"/>
      <c r="AD413" s="354"/>
      <c r="AE413" s="354"/>
      <c r="AF413" s="354"/>
      <c r="AG413" s="354"/>
      <c r="AH413" s="354"/>
      <c r="AI413" s="354"/>
      <c r="AJ413" s="260">
        <f t="shared" si="190"/>
        <v>0</v>
      </c>
      <c r="AK413" s="116"/>
      <c r="AL413" s="1374"/>
      <c r="AM413" s="31"/>
      <c r="AN413" s="1372"/>
      <c r="AO413" s="13">
        <v>308</v>
      </c>
      <c r="AP413" s="74"/>
      <c r="AQ413" s="75"/>
    </row>
    <row r="414" spans="1:43" ht="26.25" hidden="1" x14ac:dyDescent="0.4">
      <c r="A414" s="1136" t="s">
        <v>956</v>
      </c>
      <c r="B414" s="91" t="s">
        <v>294</v>
      </c>
      <c r="C414" s="558" t="s">
        <v>285</v>
      </c>
      <c r="D414" s="236"/>
      <c r="E414" s="94"/>
      <c r="F414" s="94"/>
      <c r="G414" s="94"/>
      <c r="H414" s="94"/>
      <c r="I414" s="94"/>
      <c r="J414" s="94"/>
      <c r="K414" s="94"/>
      <c r="L414" s="94"/>
      <c r="M414" s="94"/>
      <c r="N414" s="94"/>
      <c r="O414" s="94"/>
      <c r="P414" s="94"/>
      <c r="Q414" s="94"/>
      <c r="R414" s="94"/>
      <c r="S414" s="94"/>
      <c r="T414" s="94"/>
      <c r="U414" s="94"/>
      <c r="V414" s="94"/>
      <c r="W414" s="94"/>
      <c r="X414" s="94"/>
      <c r="Y414" s="94"/>
      <c r="Z414" s="94"/>
      <c r="AA414" s="94"/>
      <c r="AB414" s="310"/>
      <c r="AC414" s="310"/>
      <c r="AD414" s="310"/>
      <c r="AE414" s="310"/>
      <c r="AF414" s="310"/>
      <c r="AG414" s="310"/>
      <c r="AH414" s="310"/>
      <c r="AI414" s="310"/>
      <c r="AJ414" s="65">
        <f t="shared" ref="AJ414:AJ420" si="191">SUM(D414:AA414)</f>
        <v>0</v>
      </c>
      <c r="AK414" s="116"/>
      <c r="AL414" s="1374"/>
      <c r="AM414" s="31"/>
      <c r="AN414" s="1372"/>
      <c r="AO414" s="13">
        <v>309</v>
      </c>
      <c r="AP414" s="74"/>
      <c r="AQ414" s="75"/>
    </row>
    <row r="415" spans="1:43" ht="26.25" hidden="1" x14ac:dyDescent="0.4">
      <c r="A415" s="1224"/>
      <c r="B415" s="76" t="s">
        <v>523</v>
      </c>
      <c r="C415" s="559" t="s">
        <v>286</v>
      </c>
      <c r="D415" s="237"/>
      <c r="E415" s="79"/>
      <c r="F415" s="79"/>
      <c r="G415" s="79"/>
      <c r="H415" s="79"/>
      <c r="I415" s="79"/>
      <c r="J415" s="79"/>
      <c r="K415" s="79"/>
      <c r="L415" s="79"/>
      <c r="M415" s="79"/>
      <c r="N415" s="79"/>
      <c r="O415" s="79"/>
      <c r="P415" s="79"/>
      <c r="Q415" s="79"/>
      <c r="R415" s="79"/>
      <c r="S415" s="79"/>
      <c r="T415" s="79"/>
      <c r="U415" s="79"/>
      <c r="V415" s="79"/>
      <c r="W415" s="79"/>
      <c r="X415" s="79"/>
      <c r="Y415" s="79"/>
      <c r="Z415" s="79"/>
      <c r="AA415" s="79"/>
      <c r="AB415" s="307"/>
      <c r="AC415" s="307"/>
      <c r="AD415" s="307"/>
      <c r="AE415" s="307"/>
      <c r="AF415" s="307"/>
      <c r="AG415" s="307"/>
      <c r="AH415" s="307"/>
      <c r="AI415" s="307"/>
      <c r="AJ415" s="29">
        <f t="shared" si="191"/>
        <v>0</v>
      </c>
      <c r="AK415" s="116"/>
      <c r="AL415" s="1374"/>
      <c r="AM415" s="31"/>
      <c r="AN415" s="1372"/>
      <c r="AO415" s="13">
        <v>310</v>
      </c>
      <c r="AP415" s="74"/>
      <c r="AQ415" s="75"/>
    </row>
    <row r="416" spans="1:43" ht="26.25" hidden="1" x14ac:dyDescent="0.4">
      <c r="A416" s="1224"/>
      <c r="B416" s="76" t="s">
        <v>672</v>
      </c>
      <c r="C416" s="559" t="s">
        <v>287</v>
      </c>
      <c r="D416" s="237"/>
      <c r="E416" s="79"/>
      <c r="F416" s="79"/>
      <c r="G416" s="79"/>
      <c r="H416" s="79"/>
      <c r="I416" s="79"/>
      <c r="J416" s="79"/>
      <c r="K416" s="79"/>
      <c r="L416" s="79"/>
      <c r="M416" s="79"/>
      <c r="N416" s="79"/>
      <c r="O416" s="79"/>
      <c r="P416" s="79"/>
      <c r="Q416" s="79"/>
      <c r="R416" s="79"/>
      <c r="S416" s="79"/>
      <c r="T416" s="79"/>
      <c r="U416" s="79"/>
      <c r="V416" s="79"/>
      <c r="W416" s="79"/>
      <c r="X416" s="79"/>
      <c r="Y416" s="79"/>
      <c r="Z416" s="79"/>
      <c r="AA416" s="79"/>
      <c r="AB416" s="307"/>
      <c r="AC416" s="307"/>
      <c r="AD416" s="307"/>
      <c r="AE416" s="307"/>
      <c r="AF416" s="307"/>
      <c r="AG416" s="307"/>
      <c r="AH416" s="307"/>
      <c r="AI416" s="307"/>
      <c r="AJ416" s="29">
        <f t="shared" si="191"/>
        <v>0</v>
      </c>
      <c r="AK416" s="116"/>
      <c r="AL416" s="1374"/>
      <c r="AM416" s="31"/>
      <c r="AN416" s="1372"/>
      <c r="AO416" s="13">
        <v>311</v>
      </c>
      <c r="AP416" s="74"/>
      <c r="AQ416" s="75"/>
    </row>
    <row r="417" spans="1:43" s="61" customFormat="1" ht="26.25" hidden="1" x14ac:dyDescent="0.4">
      <c r="A417" s="1224"/>
      <c r="B417" s="76" t="s">
        <v>295</v>
      </c>
      <c r="C417" s="559" t="s">
        <v>288</v>
      </c>
      <c r="D417" s="237"/>
      <c r="E417" s="79"/>
      <c r="F417" s="79"/>
      <c r="G417" s="79"/>
      <c r="H417" s="79"/>
      <c r="I417" s="79"/>
      <c r="J417" s="79"/>
      <c r="K417" s="79"/>
      <c r="L417" s="79"/>
      <c r="M417" s="79"/>
      <c r="N417" s="79"/>
      <c r="O417" s="79"/>
      <c r="P417" s="79"/>
      <c r="Q417" s="79"/>
      <c r="R417" s="79"/>
      <c r="S417" s="79"/>
      <c r="T417" s="79"/>
      <c r="U417" s="79"/>
      <c r="V417" s="79"/>
      <c r="W417" s="79"/>
      <c r="X417" s="79"/>
      <c r="Y417" s="79"/>
      <c r="Z417" s="79"/>
      <c r="AA417" s="79"/>
      <c r="AB417" s="307"/>
      <c r="AC417" s="307"/>
      <c r="AD417" s="307"/>
      <c r="AE417" s="307"/>
      <c r="AF417" s="307"/>
      <c r="AG417" s="307"/>
      <c r="AH417" s="307"/>
      <c r="AI417" s="307"/>
      <c r="AJ417" s="29">
        <f t="shared" si="191"/>
        <v>0</v>
      </c>
      <c r="AK417" s="116"/>
      <c r="AL417" s="1374"/>
      <c r="AM417" s="60"/>
      <c r="AN417" s="1372"/>
      <c r="AO417" s="13">
        <v>312</v>
      </c>
      <c r="AP417" s="80"/>
      <c r="AQ417" s="75"/>
    </row>
    <row r="418" spans="1:43" ht="26.25" hidden="1" x14ac:dyDescent="0.4">
      <c r="A418" s="1224"/>
      <c r="B418" s="76" t="s">
        <v>524</v>
      </c>
      <c r="C418" s="559" t="s">
        <v>289</v>
      </c>
      <c r="D418" s="237"/>
      <c r="E418" s="79"/>
      <c r="F418" s="79"/>
      <c r="G418" s="79"/>
      <c r="H418" s="79"/>
      <c r="I418" s="79"/>
      <c r="J418" s="79"/>
      <c r="K418" s="79"/>
      <c r="L418" s="79"/>
      <c r="M418" s="79"/>
      <c r="N418" s="79"/>
      <c r="O418" s="79"/>
      <c r="P418" s="79"/>
      <c r="Q418" s="79"/>
      <c r="R418" s="79"/>
      <c r="S418" s="79"/>
      <c r="T418" s="79"/>
      <c r="U418" s="79"/>
      <c r="V418" s="79"/>
      <c r="W418" s="79"/>
      <c r="X418" s="79"/>
      <c r="Y418" s="79"/>
      <c r="Z418" s="79"/>
      <c r="AA418" s="79"/>
      <c r="AB418" s="307"/>
      <c r="AC418" s="307"/>
      <c r="AD418" s="307"/>
      <c r="AE418" s="307"/>
      <c r="AF418" s="307"/>
      <c r="AG418" s="307"/>
      <c r="AH418" s="307"/>
      <c r="AI418" s="307"/>
      <c r="AJ418" s="29">
        <f t="shared" si="191"/>
        <v>0</v>
      </c>
      <c r="AK418" s="116"/>
      <c r="AL418" s="1374"/>
      <c r="AM418" s="31"/>
      <c r="AN418" s="1372"/>
      <c r="AO418" s="13">
        <v>313</v>
      </c>
      <c r="AP418" s="74"/>
      <c r="AQ418" s="75"/>
    </row>
    <row r="419" spans="1:43" ht="26.25" hidden="1" x14ac:dyDescent="0.4">
      <c r="A419" s="1224"/>
      <c r="B419" s="76" t="s">
        <v>296</v>
      </c>
      <c r="C419" s="559" t="s">
        <v>290</v>
      </c>
      <c r="D419" s="237"/>
      <c r="E419" s="79"/>
      <c r="F419" s="79"/>
      <c r="G419" s="79"/>
      <c r="H419" s="79"/>
      <c r="I419" s="79"/>
      <c r="J419" s="79"/>
      <c r="K419" s="79"/>
      <c r="L419" s="79"/>
      <c r="M419" s="79"/>
      <c r="N419" s="79"/>
      <c r="O419" s="79"/>
      <c r="P419" s="79"/>
      <c r="Q419" s="79"/>
      <c r="R419" s="79"/>
      <c r="S419" s="79"/>
      <c r="T419" s="79"/>
      <c r="U419" s="79"/>
      <c r="V419" s="79"/>
      <c r="W419" s="79"/>
      <c r="X419" s="79"/>
      <c r="Y419" s="79"/>
      <c r="Z419" s="79"/>
      <c r="AA419" s="79"/>
      <c r="AB419" s="307"/>
      <c r="AC419" s="307"/>
      <c r="AD419" s="307"/>
      <c r="AE419" s="307"/>
      <c r="AF419" s="307"/>
      <c r="AG419" s="307"/>
      <c r="AH419" s="307"/>
      <c r="AI419" s="307"/>
      <c r="AJ419" s="29">
        <f t="shared" si="191"/>
        <v>0</v>
      </c>
      <c r="AK419" s="116"/>
      <c r="AL419" s="1374"/>
      <c r="AM419" s="31"/>
      <c r="AN419" s="1372"/>
      <c r="AO419" s="13">
        <v>314</v>
      </c>
      <c r="AP419" s="74"/>
      <c r="AQ419" s="75"/>
    </row>
    <row r="420" spans="1:43" ht="26.25" hidden="1" x14ac:dyDescent="0.4">
      <c r="A420" s="1225"/>
      <c r="B420" s="118" t="s">
        <v>297</v>
      </c>
      <c r="C420" s="587" t="s">
        <v>291</v>
      </c>
      <c r="D420" s="248"/>
      <c r="E420" s="121"/>
      <c r="F420" s="121"/>
      <c r="G420" s="121"/>
      <c r="H420" s="121"/>
      <c r="I420" s="121"/>
      <c r="J420" s="121"/>
      <c r="K420" s="121"/>
      <c r="L420" s="121"/>
      <c r="M420" s="121"/>
      <c r="N420" s="121"/>
      <c r="O420" s="121"/>
      <c r="P420" s="121"/>
      <c r="Q420" s="121"/>
      <c r="R420" s="121"/>
      <c r="S420" s="121"/>
      <c r="T420" s="121"/>
      <c r="U420" s="121"/>
      <c r="V420" s="121"/>
      <c r="W420" s="121"/>
      <c r="X420" s="121"/>
      <c r="Y420" s="121"/>
      <c r="Z420" s="121"/>
      <c r="AA420" s="121"/>
      <c r="AB420" s="318"/>
      <c r="AC420" s="318"/>
      <c r="AD420" s="318"/>
      <c r="AE420" s="318"/>
      <c r="AF420" s="318"/>
      <c r="AG420" s="318"/>
      <c r="AH420" s="318"/>
      <c r="AI420" s="318"/>
      <c r="AJ420" s="520">
        <f t="shared" si="191"/>
        <v>0</v>
      </c>
      <c r="AK420" s="122"/>
      <c r="AL420" s="1342"/>
      <c r="AM420" s="123"/>
      <c r="AN420" s="1346"/>
      <c r="AO420" s="13">
        <v>315</v>
      </c>
      <c r="AP420" s="74"/>
      <c r="AQ420" s="75"/>
    </row>
    <row r="421" spans="1:43" ht="27" thickBot="1" x14ac:dyDescent="0.45">
      <c r="A421" s="1365" t="s">
        <v>545</v>
      </c>
      <c r="B421" s="1366"/>
      <c r="C421" s="1366"/>
      <c r="D421" s="1366"/>
      <c r="E421" s="1366"/>
      <c r="F421" s="1366"/>
      <c r="G421" s="1366"/>
      <c r="H421" s="1366"/>
      <c r="I421" s="1366"/>
      <c r="J421" s="1366"/>
      <c r="K421" s="1366"/>
      <c r="L421" s="1366"/>
      <c r="M421" s="1366"/>
      <c r="N421" s="1366"/>
      <c r="O421" s="1366"/>
      <c r="P421" s="1366"/>
      <c r="Q421" s="1366"/>
      <c r="R421" s="1366"/>
      <c r="S421" s="1366"/>
      <c r="T421" s="1366"/>
      <c r="U421" s="1366"/>
      <c r="V421" s="1366"/>
      <c r="W421" s="1366"/>
      <c r="X421" s="1366"/>
      <c r="Y421" s="1366"/>
      <c r="Z421" s="1366"/>
      <c r="AA421" s="1366"/>
      <c r="AB421" s="1366"/>
      <c r="AC421" s="1366"/>
      <c r="AD421" s="1366"/>
      <c r="AE421" s="1366"/>
      <c r="AF421" s="1366"/>
      <c r="AG421" s="1366"/>
      <c r="AH421" s="1366"/>
      <c r="AI421" s="1366"/>
      <c r="AJ421" s="1366"/>
      <c r="AK421" s="1366"/>
      <c r="AL421" s="1366"/>
      <c r="AM421" s="1366"/>
      <c r="AN421" s="1367"/>
      <c r="AO421" s="13">
        <v>316</v>
      </c>
      <c r="AP421" s="74"/>
      <c r="AQ421" s="75"/>
    </row>
    <row r="422" spans="1:43" s="61" customFormat="1" ht="50.25" customHeight="1" x14ac:dyDescent="0.4">
      <c r="A422" s="1368" t="s">
        <v>495</v>
      </c>
      <c r="B422" s="900" t="s">
        <v>496</v>
      </c>
      <c r="C422" s="901" t="s">
        <v>499</v>
      </c>
      <c r="D422" s="902"/>
      <c r="E422" s="902"/>
      <c r="F422" s="902"/>
      <c r="G422" s="902"/>
      <c r="H422" s="902"/>
      <c r="I422" s="902"/>
      <c r="J422" s="902"/>
      <c r="K422" s="902"/>
      <c r="L422" s="902"/>
      <c r="M422" s="902"/>
      <c r="N422" s="902"/>
      <c r="O422" s="902"/>
      <c r="P422" s="902"/>
      <c r="Q422" s="902"/>
      <c r="R422" s="902"/>
      <c r="S422" s="902"/>
      <c r="T422" s="902"/>
      <c r="U422" s="902"/>
      <c r="V422" s="902"/>
      <c r="W422" s="902"/>
      <c r="X422" s="902"/>
      <c r="Y422" s="902"/>
      <c r="Z422" s="903">
        <f t="shared" ref="Z422" si="192">SUM(AB422,AD422,AF422,AH422)</f>
        <v>0</v>
      </c>
      <c r="AA422" s="903">
        <f t="shared" ref="AA422" si="193">SUM(AC422,AE422,AG422,AI422)</f>
        <v>0</v>
      </c>
      <c r="AB422" s="902"/>
      <c r="AC422" s="902"/>
      <c r="AD422" s="902"/>
      <c r="AE422" s="902"/>
      <c r="AF422" s="902"/>
      <c r="AG422" s="902"/>
      <c r="AH422" s="902"/>
      <c r="AI422" s="902"/>
      <c r="AJ422" s="904">
        <f t="shared" ref="AJ422" si="194">SUM(D422:AA422)</f>
        <v>0</v>
      </c>
      <c r="AK422" s="905" t="str">
        <f>CONCATENATE(IF(D423&gt;D422," * TB Cases with Known HIV Positive status "&amp;$D$20&amp;" "&amp;$D$21&amp;" is more than Total TB Cases New and relapsed"&amp;CHAR(10),""),IF(E423&gt;E422," * TB Cases with Known HIV Positive status "&amp;$D$20&amp;" "&amp;$E$21&amp;" is more than Total TB Cases New and relapsed"&amp;CHAR(10),""),IF(F423&gt;F422," * TB Cases with Known HIV Positive status "&amp;$F$20&amp;" "&amp;$F$21&amp;" is more than Total TB Cases New and relapsed"&amp;CHAR(10),""),IF(G423&gt;G422," * TB Cases with Known HIV Positive status "&amp;$F$20&amp;" "&amp;$G$21&amp;" is more than Total TB Cases New and relapsed"&amp;CHAR(10),""),IF(H423&gt;H422," * TB Cases with Known HIV Positive status "&amp;$H$20&amp;" "&amp;$H$21&amp;" is more than Total TB Cases New and relapsed"&amp;CHAR(10),""),IF(I423&gt;I422," * TB Cases with Known HIV Positive status "&amp;$H$20&amp;" "&amp;$I$21&amp;" is more than Total TB Cases New and relapsed"&amp;CHAR(10),""),IF(J423&gt;J422," * TB Cases with Known HIV Positive status "&amp;$J$20&amp;" "&amp;$J$21&amp;" is more than Total TB Cases New and relapsed"&amp;CHAR(10),""),IF(K423&gt;K422," * TB Cases with Known HIV Positive status "&amp;$J$20&amp;" "&amp;$K$21&amp;" is more than Total TB Cases New and relapsed"&amp;CHAR(10),""),IF(L423&gt;L422," * TB Cases with Known HIV Positive status "&amp;$L$20&amp;" "&amp;$L$21&amp;" is more than Total TB Cases New and relapsed"&amp;CHAR(10),""),IF(M423&gt;M422," * TB Cases with Known HIV Positive status "&amp;$L$20&amp;" "&amp;$M$21&amp;" is more than Total TB Cases New and relapsed"&amp;CHAR(10),""),IF(N423&gt;N422," * TB Cases with Known HIV Positive status "&amp;$N$20&amp;" "&amp;$N$21&amp;" is more than Total TB Cases New and relapsed"&amp;CHAR(10),""),IF(O423&gt;O422," * TB Cases with Known HIV Positive status "&amp;$N$20&amp;" "&amp;$O$21&amp;" is more than Total TB Cases New and relapsed"&amp;CHAR(10),""),IF(P423&gt;P422," * TB Cases with Known HIV Positive status "&amp;$P$20&amp;" "&amp;$P$21&amp;" is more than Total TB Cases New and relapsed"&amp;CHAR(10),""),IF(Q423&gt;Q422," * TB Cases with Known HIV Positive status "&amp;$P$20&amp;" "&amp;$Q$21&amp;" is more than Total TB Cases New and relapsed"&amp;CHAR(10),""),IF(R423&gt;R422," * TB Cases with Known HIV Positive status "&amp;$R$20&amp;" "&amp;$R$21&amp;" is more than Total TB Cases New and relapsed"&amp;CHAR(10),""),IF(S423&gt;S422," * TB Cases with Known HIV Positive status "&amp;$R$20&amp;" "&amp;$S$21&amp;" is more than Total TB Cases New and relapsed"&amp;CHAR(10),""),IF(T423&gt;T422," * TB Cases with Known HIV Positive status "&amp;$T$20&amp;" "&amp;$T$21&amp;" is more than Total TB Cases New and relapsed"&amp;CHAR(10),""),IF(U423&gt;U422," * TB Cases with Known HIV Positive status "&amp;$T$20&amp;" "&amp;$U$21&amp;" is more than Total TB Cases New and relapsed"&amp;CHAR(10),""),IF(V423&gt;V422," * TB Cases with Known HIV Positive status "&amp;$V$20&amp;" "&amp;$V$21&amp;" is more than Total TB Cases New and relapsed"&amp;CHAR(10),""),IF(W423&gt;W422," * TB Cases with Known HIV Positive status "&amp;$V$20&amp;" "&amp;$W$21&amp;" is more than Total TB Cases New and relapsed"&amp;CHAR(10),""),IF(X423&gt;X422," * TB Cases with Known HIV Positive status "&amp;$X$20&amp;" "&amp;$X$21&amp;" is more than Total TB Cases New and relapsed"&amp;CHAR(10),""),IF(Y423&gt;Y422," * TB Cases with Known HIV Positive status "&amp;$X$20&amp;" "&amp;$Y$21&amp;" is more than Total TB Cases New and relapsed"&amp;CHAR(10),""),IF(Z423&gt;Z422," * TB Cases with Known HIV Positive status "&amp;$Z$20&amp;" "&amp;$Z$21&amp;" is more than Total TB Cases New and relapsed"&amp;CHAR(10),""),IF(AA423&gt;AA422," * TB Cases with Known HIV Positive status "&amp;$Z$20&amp;" "&amp;$AA$21&amp;" is more than Total TB Cases New and relapsed"&amp;CHAR(10),""))</f>
        <v/>
      </c>
      <c r="AL422" s="1354" t="str">
        <f>CONCATENATE(AK422,AK423,AK426,AK427,AK428,AK429,AK430,AK431,AK432,AK424,AK425)</f>
        <v/>
      </c>
      <c r="AM422" s="906"/>
      <c r="AN422" s="1356" t="str">
        <f>CONCATENATE(AM422,AM423,AM425,AM426,AM427,AM428,AM429,AM430,AM431,AM432)</f>
        <v/>
      </c>
      <c r="AO422" s="13">
        <v>317</v>
      </c>
      <c r="AP422" s="80"/>
      <c r="AQ422" s="75"/>
    </row>
    <row r="423" spans="1:43" s="261" customFormat="1" ht="26.25" x14ac:dyDescent="0.4">
      <c r="A423" s="1368"/>
      <c r="B423" s="907" t="s">
        <v>957</v>
      </c>
      <c r="C423" s="908" t="s">
        <v>509</v>
      </c>
      <c r="D423" s="909"/>
      <c r="E423" s="909"/>
      <c r="F423" s="909"/>
      <c r="G423" s="909"/>
      <c r="H423" s="909"/>
      <c r="I423" s="909"/>
      <c r="J423" s="909"/>
      <c r="K423" s="909"/>
      <c r="L423" s="909"/>
      <c r="M423" s="909"/>
      <c r="N423" s="909"/>
      <c r="O423" s="909"/>
      <c r="P423" s="909"/>
      <c r="Q423" s="909"/>
      <c r="R423" s="909"/>
      <c r="S423" s="909"/>
      <c r="T423" s="909"/>
      <c r="U423" s="909"/>
      <c r="V423" s="909"/>
      <c r="W423" s="909"/>
      <c r="X423" s="909"/>
      <c r="Y423" s="909"/>
      <c r="Z423" s="903">
        <f t="shared" ref="Z423:Z424" si="195">SUM(AB423,AD423,AF423,AH423)</f>
        <v>0</v>
      </c>
      <c r="AA423" s="903">
        <f t="shared" ref="AA423:AA424" si="196">SUM(AC423,AE423,AG423,AI423)</f>
        <v>0</v>
      </c>
      <c r="AB423" s="909"/>
      <c r="AC423" s="909"/>
      <c r="AD423" s="909"/>
      <c r="AE423" s="909"/>
      <c r="AF423" s="909"/>
      <c r="AG423" s="909"/>
      <c r="AH423" s="909"/>
      <c r="AI423" s="909"/>
      <c r="AJ423" s="910">
        <f t="shared" ref="AJ423:AJ432" si="197">SUM(D423:AA423)</f>
        <v>0</v>
      </c>
      <c r="AK423" s="911"/>
      <c r="AL423" s="1354"/>
      <c r="AM423" s="912"/>
      <c r="AN423" s="1356"/>
      <c r="AO423" s="13">
        <v>318</v>
      </c>
      <c r="AP423" s="80"/>
      <c r="AQ423" s="149"/>
    </row>
    <row r="424" spans="1:43" s="261" customFormat="1" ht="26.25" x14ac:dyDescent="0.4">
      <c r="A424" s="1368"/>
      <c r="B424" s="989" t="s">
        <v>1303</v>
      </c>
      <c r="C424" s="990" t="s">
        <v>941</v>
      </c>
      <c r="D424" s="915"/>
      <c r="E424" s="916"/>
      <c r="F424" s="909"/>
      <c r="G424" s="909"/>
      <c r="H424" s="909"/>
      <c r="I424" s="909"/>
      <c r="J424" s="909"/>
      <c r="K424" s="909"/>
      <c r="L424" s="909"/>
      <c r="M424" s="909"/>
      <c r="N424" s="909"/>
      <c r="O424" s="909"/>
      <c r="P424" s="909"/>
      <c r="Q424" s="909"/>
      <c r="R424" s="909"/>
      <c r="S424" s="909"/>
      <c r="T424" s="909"/>
      <c r="U424" s="909"/>
      <c r="V424" s="909"/>
      <c r="W424" s="909"/>
      <c r="X424" s="909"/>
      <c r="Y424" s="909"/>
      <c r="Z424" s="903">
        <f t="shared" si="195"/>
        <v>0</v>
      </c>
      <c r="AA424" s="903">
        <f t="shared" si="196"/>
        <v>0</v>
      </c>
      <c r="AB424" s="909"/>
      <c r="AC424" s="909"/>
      <c r="AD424" s="909"/>
      <c r="AE424" s="909"/>
      <c r="AF424" s="909"/>
      <c r="AG424" s="909"/>
      <c r="AH424" s="909"/>
      <c r="AI424" s="909"/>
      <c r="AJ424" s="910">
        <f t="shared" si="197"/>
        <v>0</v>
      </c>
      <c r="AK424" s="911"/>
      <c r="AL424" s="1354"/>
      <c r="AM424" s="912"/>
      <c r="AN424" s="1356"/>
      <c r="AO424" s="13"/>
      <c r="AP424" s="80"/>
      <c r="AQ424" s="149"/>
    </row>
    <row r="425" spans="1:43" s="261" customFormat="1" ht="26.25" x14ac:dyDescent="0.4">
      <c r="A425" s="1368"/>
      <c r="B425" s="914" t="s">
        <v>497</v>
      </c>
      <c r="C425" s="908" t="s">
        <v>510</v>
      </c>
      <c r="D425" s="915"/>
      <c r="E425" s="916"/>
      <c r="F425" s="917">
        <f>F422-(F423+F424)</f>
        <v>0</v>
      </c>
      <c r="G425" s="917">
        <f t="shared" ref="G425:Y425" si="198">G422-(G423+G424)</f>
        <v>0</v>
      </c>
      <c r="H425" s="917">
        <f t="shared" si="198"/>
        <v>0</v>
      </c>
      <c r="I425" s="917">
        <f t="shared" si="198"/>
        <v>0</v>
      </c>
      <c r="J425" s="917">
        <f t="shared" si="198"/>
        <v>0</v>
      </c>
      <c r="K425" s="917">
        <f t="shared" si="198"/>
        <v>0</v>
      </c>
      <c r="L425" s="917">
        <f t="shared" si="198"/>
        <v>0</v>
      </c>
      <c r="M425" s="917">
        <f t="shared" si="198"/>
        <v>0</v>
      </c>
      <c r="N425" s="917">
        <f t="shared" si="198"/>
        <v>0</v>
      </c>
      <c r="O425" s="917">
        <f t="shared" si="198"/>
        <v>0</v>
      </c>
      <c r="P425" s="917">
        <f t="shared" si="198"/>
        <v>0</v>
      </c>
      <c r="Q425" s="917">
        <f t="shared" si="198"/>
        <v>0</v>
      </c>
      <c r="R425" s="917">
        <f t="shared" si="198"/>
        <v>0</v>
      </c>
      <c r="S425" s="917">
        <f t="shared" si="198"/>
        <v>0</v>
      </c>
      <c r="T425" s="917">
        <f t="shared" si="198"/>
        <v>0</v>
      </c>
      <c r="U425" s="917">
        <f t="shared" si="198"/>
        <v>0</v>
      </c>
      <c r="V425" s="917">
        <f t="shared" si="198"/>
        <v>0</v>
      </c>
      <c r="W425" s="917">
        <f t="shared" si="198"/>
        <v>0</v>
      </c>
      <c r="X425" s="917">
        <f t="shared" si="198"/>
        <v>0</v>
      </c>
      <c r="Y425" s="917">
        <f t="shared" si="198"/>
        <v>0</v>
      </c>
      <c r="Z425" s="903">
        <f t="shared" ref="Z425:Z430" si="199">SUM(AB425,AD425,AF425,AH425)</f>
        <v>0</v>
      </c>
      <c r="AA425" s="903">
        <f t="shared" ref="AA425:AA430" si="200">SUM(AC425,AE425,AG425,AI425)</f>
        <v>0</v>
      </c>
      <c r="AB425" s="917">
        <f t="shared" ref="AB425:AI425" si="201">AB422-(AB423+AB424)</f>
        <v>0</v>
      </c>
      <c r="AC425" s="917">
        <f t="shared" si="201"/>
        <v>0</v>
      </c>
      <c r="AD425" s="917">
        <f t="shared" si="201"/>
        <v>0</v>
      </c>
      <c r="AE425" s="917">
        <f t="shared" si="201"/>
        <v>0</v>
      </c>
      <c r="AF425" s="917">
        <f t="shared" si="201"/>
        <v>0</v>
      </c>
      <c r="AG425" s="917">
        <f t="shared" si="201"/>
        <v>0</v>
      </c>
      <c r="AH425" s="917">
        <f t="shared" si="201"/>
        <v>0</v>
      </c>
      <c r="AI425" s="917">
        <f t="shared" si="201"/>
        <v>0</v>
      </c>
      <c r="AJ425" s="910">
        <f t="shared" si="197"/>
        <v>0</v>
      </c>
      <c r="AK425" s="911"/>
      <c r="AL425" s="1354"/>
      <c r="AM425" s="912" t="str">
        <f>CONCATENATE(IF(D425&gt;D426," * TB Cases newly tested for HIV "&amp;$D$20&amp;" "&amp;$D$21&amp;" is less than TB Cases eligible for Testing"&amp;CHAR(10),""),IF(E425&gt;E426," * TB Cases newly tested for HIV "&amp;$D$20&amp;" "&amp;$E$21&amp;" is less than TB Cases eligible for Testing"&amp;CHAR(10),""),IF(F425&gt;F426," * TB Cases newly tested for HIV "&amp;$F$20&amp;" "&amp;$F$21&amp;" is less than TB Cases eligible for Testing"&amp;CHAR(10),""),IF(G425&gt;G426," * TB Cases newly tested for HIV "&amp;$F$20&amp;" "&amp;$G$21&amp;" is less than TB Cases eligible for Testing"&amp;CHAR(10),""),IF(H425&gt;H426," * TB Cases newly tested for HIV "&amp;$H$20&amp;" "&amp;$H$21&amp;" is less than TB Cases eligible for Testing"&amp;CHAR(10),""),IF(I425&gt;I426," * TB Cases newly tested for HIV "&amp;$H$20&amp;" "&amp;$I$21&amp;" is less than TB Cases eligible for Testing"&amp;CHAR(10),""),IF(J425&gt;J426," * TB Cases newly tested for HIV "&amp;$J$20&amp;" "&amp;$J$21&amp;" is less than TB Cases eligible for Testing"&amp;CHAR(10),""),IF(K425&gt;K426," * TB Cases newly tested for HIV "&amp;$J$20&amp;" "&amp;$K$21&amp;" is less than TB Cases eligible for Testing"&amp;CHAR(10),""),IF(L425&gt;L426," * TB Cases newly tested for HIV "&amp;$L$20&amp;" "&amp;$L$21&amp;" is less than TB Cases eligible for Testing"&amp;CHAR(10),""),IF(M425&gt;M426," * TB Cases newly tested for HIV "&amp;$L$20&amp;" "&amp;$M$21&amp;" is less than TB Cases eligible for Testing"&amp;CHAR(10),""),IF(N425&gt;N426," * TB Cases newly tested for HIV "&amp;$N$20&amp;" "&amp;$N$21&amp;" is less than TB Cases eligible for Testing"&amp;CHAR(10),""),IF(O425&gt;O426," * TB Cases newly tested for HIV "&amp;$N$20&amp;" "&amp;$O$21&amp;" is less than TB Cases eligible for Testing"&amp;CHAR(10),""),IF(P425&gt;P426," * TB Cases newly tested for HIV "&amp;$P$20&amp;" "&amp;$P$21&amp;" is less than TB Cases eligible for Testing"&amp;CHAR(10),""),IF(Q425&gt;Q426," * TB Cases newly tested for HIV "&amp;$P$20&amp;" "&amp;$Q$21&amp;" is less than TB Cases eligible for Testing"&amp;CHAR(10),""),IF(R425&gt;R426," * TB Cases newly tested for HIV "&amp;$R$20&amp;" "&amp;$R$21&amp;" is less than TB Cases eligible for Testing"&amp;CHAR(10),""),IF(S425&gt;S426," * TB Cases newly tested for HIV "&amp;$R$20&amp;" "&amp;$S$21&amp;" is less than TB Cases eligible for Testing"&amp;CHAR(10),""),IF(T425&gt;T426," * TB Cases newly tested for HIV "&amp;$T$20&amp;" "&amp;$T$21&amp;" is less than TB Cases eligible for Testing"&amp;CHAR(10),""),IF(U425&gt;U426," * TB Cases newly tested for HIV "&amp;$T$20&amp;" "&amp;$U$21&amp;" is less than TB Cases eligible for Testing"&amp;CHAR(10),""),IF(V425&gt;V426," * TB Cases newly tested for HIV "&amp;$V$20&amp;" "&amp;$V$21&amp;" is less than TB Cases eligible for Testing"&amp;CHAR(10),""),IF(W425&gt;W426," * TB Cases newly tested for HIV "&amp;$V$20&amp;" "&amp;$W$21&amp;" is less than TB Cases eligible for Testing"&amp;CHAR(10),""),IF(X425&gt;X426," * TB Cases newly tested for HIV "&amp;$X$20&amp;" "&amp;$X$21&amp;" is less than TB Cases eligible for Testing"&amp;CHAR(10),""),IF(Y425&gt;Y426," * TB Cases newly tested for HIV "&amp;$X$20&amp;" "&amp;$Y$21&amp;" is less than TB Cases eligible for Testing"&amp;CHAR(10),""),IF(Z425&gt;Z426," * TB Cases newly tested for HIV "&amp;$Z$20&amp;" "&amp;$Z$21&amp;" is less than TB Cases eligible for Testing"&amp;CHAR(10),""),IF(AA425&gt;AA426," * TB Cases newly tested for HIV "&amp;$Z$20&amp;" "&amp;$AA$21&amp;" is less than TB Cases eligible for Testing"&amp;CHAR(10),""))</f>
        <v/>
      </c>
      <c r="AN425" s="1356"/>
      <c r="AO425" s="13">
        <v>319</v>
      </c>
      <c r="AP425" s="80"/>
      <c r="AQ425" s="149"/>
    </row>
    <row r="426" spans="1:43" s="261" customFormat="1" ht="26.25" x14ac:dyDescent="0.4">
      <c r="A426" s="1368"/>
      <c r="B426" s="907" t="s">
        <v>519</v>
      </c>
      <c r="C426" s="908" t="s">
        <v>511</v>
      </c>
      <c r="D426" s="915"/>
      <c r="E426" s="916"/>
      <c r="F426" s="918"/>
      <c r="G426" s="918"/>
      <c r="H426" s="918"/>
      <c r="I426" s="918"/>
      <c r="J426" s="918"/>
      <c r="K426" s="918"/>
      <c r="L426" s="918"/>
      <c r="M426" s="918"/>
      <c r="N426" s="918"/>
      <c r="O426" s="918"/>
      <c r="P426" s="918"/>
      <c r="Q426" s="918"/>
      <c r="R426" s="918"/>
      <c r="S426" s="918"/>
      <c r="T426" s="918"/>
      <c r="U426" s="918"/>
      <c r="V426" s="918"/>
      <c r="W426" s="918"/>
      <c r="X426" s="918"/>
      <c r="Y426" s="918"/>
      <c r="Z426" s="903">
        <f t="shared" si="199"/>
        <v>0</v>
      </c>
      <c r="AA426" s="903">
        <f t="shared" si="200"/>
        <v>0</v>
      </c>
      <c r="AB426" s="918"/>
      <c r="AC426" s="918"/>
      <c r="AD426" s="918"/>
      <c r="AE426" s="918"/>
      <c r="AF426" s="918"/>
      <c r="AG426" s="918"/>
      <c r="AH426" s="918"/>
      <c r="AI426" s="918"/>
      <c r="AJ426" s="910">
        <f t="shared" si="197"/>
        <v>0</v>
      </c>
      <c r="AK426" s="919" t="str">
        <f>CONCATENATE(IF(D422&lt;D426," * TB Cases newly tested for HIV "&amp;$D$20&amp;" "&amp;$D$21&amp;" is more than Total TB Cases New and relapsed"&amp;CHAR(10),""),IF(E422&lt;E426," * TB Cases newly tested for HIV "&amp;$D$20&amp;" "&amp;$E$21&amp;" is more than Total TB Cases New and relapsed"&amp;CHAR(10),""),IF(F422&lt;F426," * TB Cases newly tested for HIV "&amp;$F$20&amp;" "&amp;$F$21&amp;" is more than Total TB Cases New and relapsed"&amp;CHAR(10),""),IF(G422&lt;G426," * TB Cases newly tested for HIV "&amp;$F$20&amp;" "&amp;$G$21&amp;" is more than Total TB Cases New and relapsed"&amp;CHAR(10),""),IF(H422&lt;H426," * TB Cases newly tested for HIV "&amp;$H$20&amp;" "&amp;$H$21&amp;" is more than Total TB Cases New and relapsed"&amp;CHAR(10),""),IF(I422&lt;I426," * TB Cases newly tested for HIV "&amp;$H$20&amp;" "&amp;$I$21&amp;" is more than Total TB Cases New and relapsed"&amp;CHAR(10),""),IF(J422&lt;J426," * TB Cases newly tested for HIV "&amp;$J$20&amp;" "&amp;$J$21&amp;" is more than Total TB Cases New and relapsed"&amp;CHAR(10),""),IF(K422&lt;K426," * TB Cases newly tested for HIV "&amp;$J$20&amp;" "&amp;$K$21&amp;" is more than Total TB Cases New and relapsed"&amp;CHAR(10),""),IF(L422&lt;L426," * TB Cases newly tested for HIV "&amp;$L$20&amp;" "&amp;$L$21&amp;" is more than Total TB Cases New and relapsed"&amp;CHAR(10),""),IF(M422&lt;M426," * TB Cases newly tested for HIV "&amp;$L$20&amp;" "&amp;$M$21&amp;" is more than Total TB Cases New and relapsed"&amp;CHAR(10),""),IF(N422&lt;N426," * TB Cases newly tested for HIV "&amp;$N$20&amp;" "&amp;$N$21&amp;" is more than Total TB Cases New and relapsed"&amp;CHAR(10),""),IF(O422&lt;O426," * TB Cases newly tested for HIV "&amp;$N$20&amp;" "&amp;$O$21&amp;" is more than Total TB Cases New and relapsed"&amp;CHAR(10),""),IF(P422&lt;P426," * TB Cases newly tested for HIV "&amp;$P$20&amp;" "&amp;$P$21&amp;" is more than Total TB Cases New and relapsed"&amp;CHAR(10),""),IF(Q422&lt;Q426," * TB Cases newly tested for HIV "&amp;$P$20&amp;" "&amp;$Q$21&amp;" is more than Total TB Cases New and relapsed"&amp;CHAR(10),""),IF(R422&lt;R426," * TB Cases newly tested for HIV "&amp;$R$20&amp;" "&amp;$R$21&amp;" is more than Total TB Cases New and relapsed"&amp;CHAR(10),""),IF(S422&lt;S426," * TB Cases newly tested for HIV "&amp;$R$20&amp;" "&amp;$S$21&amp;" is more than Total TB Cases New and relapsed"&amp;CHAR(10),""),IF(T422&lt;T426," * TB Cases newly tested for HIV "&amp;$T$20&amp;" "&amp;$T$21&amp;" is more than Total TB Cases New and relapsed"&amp;CHAR(10),""),IF(U422&lt;U426," * TB Cases newly tested for HIV "&amp;$T$20&amp;" "&amp;$U$21&amp;" is more than Total TB Cases New and relapsed"&amp;CHAR(10),""),IF(V422&lt;V426," * TB Cases newly tested for HIV "&amp;$V$20&amp;" "&amp;$V$21&amp;" is more than Total TB Cases New and relapsed"&amp;CHAR(10),""),IF(W422&lt;W426," * TB Cases newly tested for HIV "&amp;$V$20&amp;" "&amp;$W$21&amp;" is more than Total TB Cases New and relapsed"&amp;CHAR(10),""),IF(X422&lt;X426," * TB Cases newly tested for HIV "&amp;$X$20&amp;" "&amp;$X$21&amp;" is more than Total TB Cases New and relapsed"&amp;CHAR(10),""),IF(Y422&lt;Y426," * TB Cases newly tested for HIV "&amp;$X$20&amp;" "&amp;$Y$21&amp;" is more than Total TB Cases New and relapsed"&amp;CHAR(10),""),IF(Z422&lt;Z426," * TB Cases newly tested for HIV "&amp;$Z$20&amp;" "&amp;$Z$21&amp;" is more than Total TB Cases New and relapsed"&amp;CHAR(10),""),IF(AA422&lt;AA426," * TB Cases newly tested for HIV "&amp;$Z$20&amp;" "&amp;$AA$21&amp;" is more than Total TB Cases New and relapsed"&amp;CHAR(10),""))</f>
        <v/>
      </c>
      <c r="AL426" s="1354"/>
      <c r="AM426" s="920"/>
      <c r="AN426" s="1356"/>
      <c r="AO426" s="13">
        <v>320</v>
      </c>
      <c r="AP426" s="80"/>
      <c r="AQ426" s="149"/>
    </row>
    <row r="427" spans="1:43" s="261" customFormat="1" ht="26.25" x14ac:dyDescent="0.4">
      <c r="A427" s="1368"/>
      <c r="B427" s="914" t="s">
        <v>498</v>
      </c>
      <c r="C427" s="908" t="s">
        <v>512</v>
      </c>
      <c r="D427" s="917">
        <f t="shared" ref="D427:E427" si="202">D426+D423+D424</f>
        <v>0</v>
      </c>
      <c r="E427" s="917">
        <f t="shared" si="202"/>
        <v>0</v>
      </c>
      <c r="F427" s="917">
        <f>F426+F423+F424</f>
        <v>0</v>
      </c>
      <c r="G427" s="917">
        <f t="shared" ref="G427:Y427" si="203">G426+G423+G424</f>
        <v>0</v>
      </c>
      <c r="H427" s="917">
        <f t="shared" si="203"/>
        <v>0</v>
      </c>
      <c r="I427" s="917">
        <f t="shared" si="203"/>
        <v>0</v>
      </c>
      <c r="J427" s="917">
        <f t="shared" si="203"/>
        <v>0</v>
      </c>
      <c r="K427" s="917">
        <f t="shared" si="203"/>
        <v>0</v>
      </c>
      <c r="L427" s="917">
        <f t="shared" si="203"/>
        <v>0</v>
      </c>
      <c r="M427" s="917">
        <f t="shared" si="203"/>
        <v>0</v>
      </c>
      <c r="N427" s="917">
        <f t="shared" si="203"/>
        <v>0</v>
      </c>
      <c r="O427" s="917">
        <f t="shared" si="203"/>
        <v>0</v>
      </c>
      <c r="P427" s="917">
        <f t="shared" si="203"/>
        <v>0</v>
      </c>
      <c r="Q427" s="917">
        <f t="shared" si="203"/>
        <v>0</v>
      </c>
      <c r="R427" s="917">
        <f t="shared" si="203"/>
        <v>0</v>
      </c>
      <c r="S427" s="917">
        <f t="shared" si="203"/>
        <v>0</v>
      </c>
      <c r="T427" s="917">
        <f t="shared" si="203"/>
        <v>0</v>
      </c>
      <c r="U427" s="917">
        <f t="shared" si="203"/>
        <v>0</v>
      </c>
      <c r="V427" s="917">
        <f t="shared" si="203"/>
        <v>0</v>
      </c>
      <c r="W427" s="917">
        <f t="shared" si="203"/>
        <v>0</v>
      </c>
      <c r="X427" s="917">
        <f t="shared" si="203"/>
        <v>0</v>
      </c>
      <c r="Y427" s="917">
        <f t="shared" si="203"/>
        <v>0</v>
      </c>
      <c r="Z427" s="917">
        <f>Z426+Z423+Z424</f>
        <v>0</v>
      </c>
      <c r="AA427" s="917">
        <f>AA426+AA423+AA424</f>
        <v>0</v>
      </c>
      <c r="AB427" s="917">
        <f>AB426+AB423+AB424</f>
        <v>0</v>
      </c>
      <c r="AC427" s="917">
        <f>AC426+AC423+AC424</f>
        <v>0</v>
      </c>
      <c r="AD427" s="917">
        <f t="shared" ref="AD427:AI427" si="204">AD426+AD423+AD424</f>
        <v>0</v>
      </c>
      <c r="AE427" s="917">
        <f t="shared" si="204"/>
        <v>0</v>
      </c>
      <c r="AF427" s="917">
        <f t="shared" si="204"/>
        <v>0</v>
      </c>
      <c r="AG427" s="917">
        <f t="shared" si="204"/>
        <v>0</v>
      </c>
      <c r="AH427" s="917">
        <f>AH426+AH423+AH424</f>
        <v>0</v>
      </c>
      <c r="AI427" s="917">
        <f t="shared" si="204"/>
        <v>0</v>
      </c>
      <c r="AJ427" s="910">
        <f>SUM(D427:AA427)</f>
        <v>0</v>
      </c>
      <c r="AK427" s="919" t="str">
        <f>CONCATENATE(IF(D422&lt;D427," * TB cases with documented HIV status "&amp;$D$20&amp;" "&amp;$D$21&amp;" is more than Total TB Cases New and relapsed"&amp;CHAR(10),""),IF(E422&lt;E427," * TB cases with documented HIV status "&amp;$D$20&amp;" "&amp;$E$21&amp;" is more than Total TB Cases New and relapsed"&amp;CHAR(10),""),IF(F422&lt;F427," * TB cases with documented HIV status "&amp;$F$20&amp;" "&amp;$F$21&amp;" is more than Total TB Cases New and relapsed"&amp;CHAR(10),""),IF(G422&lt;G427," * TB cases with documented HIV status "&amp;$F$20&amp;" "&amp;$G$21&amp;" is more than Total TB Cases New and relapsed"&amp;CHAR(10),""),IF(H422&lt;H427," * TB cases with documented HIV status "&amp;$H$20&amp;" "&amp;$H$21&amp;" is more than Total TB Cases New and relapsed"&amp;CHAR(10),""),IF(I422&lt;I427," * TB cases with documented HIV status "&amp;$H$20&amp;" "&amp;$I$21&amp;" is more than Total TB Cases New and relapsed"&amp;CHAR(10),""),IF(J422&lt;J427," * TB cases with documented HIV status "&amp;$J$20&amp;" "&amp;$J$21&amp;" is more than Total TB Cases New and relapsed"&amp;CHAR(10),""),IF(K422&lt;K427," * TB cases with documented HIV status "&amp;$J$20&amp;" "&amp;$K$21&amp;" is more than Total TB Cases New and relapsed"&amp;CHAR(10),""),IF(L422&lt;L427," * TB cases with documented HIV status "&amp;$L$20&amp;" "&amp;$L$21&amp;" is more than Total TB Cases New and relapsed"&amp;CHAR(10),""),IF(M422&lt;M427," * TB cases with documented HIV status "&amp;$L$20&amp;" "&amp;$M$21&amp;" is more than Total TB Cases New and relapsed"&amp;CHAR(10),""),IF(N422&lt;N427," * TB cases with documented HIV status "&amp;$N$20&amp;" "&amp;$N$21&amp;" is more than Total TB Cases New and relapsed"&amp;CHAR(10),""),IF(O422&lt;O427," * TB cases with documented HIV status "&amp;$N$20&amp;" "&amp;$O$21&amp;" is more than Total TB Cases New and relapsed"&amp;CHAR(10),""),IF(P422&lt;P427," * TB cases with documented HIV status "&amp;$P$20&amp;" "&amp;$P$21&amp;" is more than Total TB Cases New and relapsed"&amp;CHAR(10),""),IF(Q422&lt;Q427," * TB cases with documented HIV status "&amp;$P$20&amp;" "&amp;$Q$21&amp;" is more than Total TB Cases New and relapsed"&amp;CHAR(10),""),IF(R422&lt;R427," * TB cases with documented HIV status "&amp;$R$20&amp;" "&amp;$R$21&amp;" is more than Total TB Cases New and relapsed"&amp;CHAR(10),""),IF(S422&lt;S427," * TB cases with documented HIV status "&amp;$R$20&amp;" "&amp;$S$21&amp;" is more than Total TB Cases New and relapsed"&amp;CHAR(10),""),IF(T422&lt;T427," * TB cases with documented HIV status "&amp;$T$20&amp;" "&amp;$T$21&amp;" is more than Total TB Cases New and relapsed"&amp;CHAR(10),""),IF(U422&lt;U427," * TB cases with documented HIV status "&amp;$T$20&amp;" "&amp;$U$21&amp;" is more than Total TB Cases New and relapsed"&amp;CHAR(10),""),IF(V422&lt;V427," * TB cases with documented HIV status "&amp;$V$20&amp;" "&amp;$V$21&amp;" is more than Total TB Cases New and relapsed"&amp;CHAR(10),""),IF(W422&lt;W427," * TB cases with documented HIV status "&amp;$V$20&amp;" "&amp;$W$21&amp;" is more than Total TB Cases New and relapsed"&amp;CHAR(10),""),IF(X422&lt;X427," * TB cases with documented HIV status "&amp;$X$20&amp;" "&amp;$X$21&amp;" is more than Total TB Cases New and relapsed"&amp;CHAR(10),""),IF(Y422&lt;Y427," * TB cases with documented HIV status "&amp;$X$20&amp;" "&amp;$Y$21&amp;" is more than Total TB Cases New and relapsed"&amp;CHAR(10),""),IF(Z422&lt;Z427," * TB cases with documented HIV status "&amp;$Z$20&amp;" "&amp;$Z$21&amp;" is more than Total TB Cases New and relapsed"&amp;CHAR(10),""),IF(AA422&lt;AA427," * TB cases with documented HIV status "&amp;$Z$20&amp;" "&amp;$AA$21&amp;" is more than Total TB Cases New and relapsed"&amp;CHAR(10),""))</f>
        <v/>
      </c>
      <c r="AL427" s="1354"/>
      <c r="AM427" s="912"/>
      <c r="AN427" s="1356"/>
      <c r="AO427" s="13">
        <v>321</v>
      </c>
      <c r="AP427" s="80"/>
      <c r="AQ427" s="149"/>
    </row>
    <row r="428" spans="1:43" s="61" customFormat="1" ht="26.25" x14ac:dyDescent="0.4">
      <c r="A428" s="1368"/>
      <c r="B428" s="907" t="s">
        <v>521</v>
      </c>
      <c r="C428" s="908" t="s">
        <v>513</v>
      </c>
      <c r="D428" s="915"/>
      <c r="E428" s="916"/>
      <c r="F428" s="921"/>
      <c r="G428" s="921"/>
      <c r="H428" s="921"/>
      <c r="I428" s="921"/>
      <c r="J428" s="921"/>
      <c r="K428" s="921"/>
      <c r="L428" s="921"/>
      <c r="M428" s="921"/>
      <c r="N428" s="921"/>
      <c r="O428" s="921"/>
      <c r="P428" s="921"/>
      <c r="Q428" s="921"/>
      <c r="R428" s="921"/>
      <c r="S428" s="921"/>
      <c r="T428" s="921"/>
      <c r="U428" s="921"/>
      <c r="V428" s="921"/>
      <c r="W428" s="921"/>
      <c r="X428" s="921"/>
      <c r="Y428" s="921"/>
      <c r="Z428" s="903">
        <f t="shared" si="199"/>
        <v>0</v>
      </c>
      <c r="AA428" s="903">
        <f t="shared" si="200"/>
        <v>0</v>
      </c>
      <c r="AB428" s="921"/>
      <c r="AC428" s="921"/>
      <c r="AD428" s="921"/>
      <c r="AE428" s="921"/>
      <c r="AF428" s="921"/>
      <c r="AG428" s="921"/>
      <c r="AH428" s="921"/>
      <c r="AI428" s="921"/>
      <c r="AJ428" s="910">
        <f t="shared" si="197"/>
        <v>0</v>
      </c>
      <c r="AK428" s="919" t="str">
        <f>CONCATENATE(IF(D426&lt;D428," * Newly Tested Positives "&amp;$D$20&amp;" "&amp;$D$21&amp;" is more than TB Cases newly tested for HIV"&amp;CHAR(10),""),IF(E426&lt;E428," * Newly Tested Positives "&amp;$D$20&amp;" "&amp;$E$21&amp;" is more than TB Cases newly tested for HIV"&amp;CHAR(10),""),IF(F426&lt;F428," * Newly Tested Positives "&amp;$F$20&amp;" "&amp;$F$21&amp;" is more than TB Cases newly tested for HIV"&amp;CHAR(10),""),IF(G426&lt;G428," * Newly Tested Positives "&amp;$F$20&amp;" "&amp;$G$21&amp;" is more than TB Cases newly tested for HIV"&amp;CHAR(10),""),IF(H426&lt;H428," * Newly Tested Positives "&amp;$H$20&amp;" "&amp;$H$21&amp;" is more than TB Cases newly tested for HIV"&amp;CHAR(10),""),IF(I426&lt;I428," * Newly Tested Positives "&amp;$H$20&amp;" "&amp;$I$21&amp;" is more than TB Cases newly tested for HIV"&amp;CHAR(10),""),IF(J426&lt;J428," * Newly Tested Positives "&amp;$J$20&amp;" "&amp;$J$21&amp;" is more than TB Cases newly tested for HIV"&amp;CHAR(10),""),IF(K426&lt;K428," * Newly Tested Positives "&amp;$J$20&amp;" "&amp;$K$21&amp;" is more than TB Cases newly tested for HIV"&amp;CHAR(10),""),IF(L426&lt;L428," * Newly Tested Positives "&amp;$L$20&amp;" "&amp;$L$21&amp;" is more than TB Cases newly tested for HIV"&amp;CHAR(10),""),IF(M426&lt;M428," * Newly Tested Positives "&amp;$L$20&amp;" "&amp;$M$21&amp;" is more than TB Cases newly tested for HIV"&amp;CHAR(10),""),IF(N426&lt;N428," * Newly Tested Positives "&amp;$N$20&amp;" "&amp;$N$21&amp;" is more than TB Cases newly tested for HIV"&amp;CHAR(10),""),IF(O426&lt;O428," * Newly Tested Positives "&amp;$N$20&amp;" "&amp;$O$21&amp;" is more than TB Cases newly tested for HIV"&amp;CHAR(10),""),IF(P426&lt;P428," * Newly Tested Positives "&amp;$P$20&amp;" "&amp;$P$21&amp;" is more than TB Cases newly tested for HIV"&amp;CHAR(10),""),IF(Q426&lt;Q428," * Newly Tested Positives "&amp;$P$20&amp;" "&amp;$Q$21&amp;" is more than TB Cases newly tested for HIV"&amp;CHAR(10),""),IF(R426&lt;R428," * Newly Tested Positives "&amp;$R$20&amp;" "&amp;$R$21&amp;" is more than TB Cases newly tested for HIV"&amp;CHAR(10),""),IF(S426&lt;S428," * Newly Tested Positives "&amp;$R$20&amp;" "&amp;$S$21&amp;" is more than TB Cases newly tested for HIV"&amp;CHAR(10),""),IF(T426&lt;T428," * Newly Tested Positives "&amp;$T$20&amp;" "&amp;$T$21&amp;" is more than TB Cases newly tested for HIV"&amp;CHAR(10),""),IF(U426&lt;U428," * Newly Tested Positives "&amp;$T$20&amp;" "&amp;$U$21&amp;" is more than TB Cases newly tested for HIV"&amp;CHAR(10),""),IF(V426&lt;V428," * Newly Tested Positives "&amp;$V$20&amp;" "&amp;$V$21&amp;" is more than TB Cases newly tested for HIV"&amp;CHAR(10),""),IF(W426&lt;W428," * Newly Tested Positives "&amp;$V$20&amp;" "&amp;$W$21&amp;" is more than TB Cases newly tested for HIV"&amp;CHAR(10),""),IF(X426&lt;X428," * Newly Tested Positives "&amp;$X$20&amp;" "&amp;$X$21&amp;" is more than TB Cases newly tested for HIV"&amp;CHAR(10),""),IF(Y426&lt;Y428," * Newly Tested Positives "&amp;$X$20&amp;" "&amp;$Y$21&amp;" is more than TB Cases newly tested for HIV"&amp;CHAR(10),""),IF(Z426&lt;Z428," * Newly Tested Positives "&amp;$Z$20&amp;" "&amp;$Z$21&amp;" is more than TB Cases newly tested for HIV"&amp;CHAR(10),""),IF(AA426&lt;AA428," * Newly Tested Positives "&amp;$Z$20&amp;" "&amp;$AA$21&amp;" is more than TB Cases newly tested for HIV"&amp;CHAR(10),""))</f>
        <v/>
      </c>
      <c r="AL428" s="1354"/>
      <c r="AM428" s="912"/>
      <c r="AN428" s="1356"/>
      <c r="AO428" s="13">
        <v>322</v>
      </c>
      <c r="AP428" s="80"/>
      <c r="AQ428" s="75"/>
    </row>
    <row r="429" spans="1:43" s="61" customFormat="1" ht="27" thickBot="1" x14ac:dyDescent="0.45">
      <c r="A429" s="1368"/>
      <c r="B429" s="922" t="s">
        <v>514</v>
      </c>
      <c r="C429" s="923" t="s">
        <v>515</v>
      </c>
      <c r="D429" s="924"/>
      <c r="E429" s="925"/>
      <c r="F429" s="926">
        <f t="shared" ref="F429:Y429" si="205">F428+F423</f>
        <v>0</v>
      </c>
      <c r="G429" s="926">
        <f t="shared" si="205"/>
        <v>0</v>
      </c>
      <c r="H429" s="926">
        <f t="shared" si="205"/>
        <v>0</v>
      </c>
      <c r="I429" s="926">
        <f t="shared" si="205"/>
        <v>0</v>
      </c>
      <c r="J429" s="926">
        <f t="shared" si="205"/>
        <v>0</v>
      </c>
      <c r="K429" s="926">
        <f t="shared" si="205"/>
        <v>0</v>
      </c>
      <c r="L429" s="926">
        <f t="shared" si="205"/>
        <v>0</v>
      </c>
      <c r="M429" s="926">
        <f t="shared" si="205"/>
        <v>0</v>
      </c>
      <c r="N429" s="926">
        <f t="shared" si="205"/>
        <v>0</v>
      </c>
      <c r="O429" s="926">
        <f t="shared" si="205"/>
        <v>0</v>
      </c>
      <c r="P429" s="926">
        <f t="shared" si="205"/>
        <v>0</v>
      </c>
      <c r="Q429" s="926">
        <f t="shared" si="205"/>
        <v>0</v>
      </c>
      <c r="R429" s="926">
        <f t="shared" si="205"/>
        <v>0</v>
      </c>
      <c r="S429" s="926">
        <f t="shared" si="205"/>
        <v>0</v>
      </c>
      <c r="T429" s="926">
        <f t="shared" si="205"/>
        <v>0</v>
      </c>
      <c r="U429" s="926">
        <f t="shared" si="205"/>
        <v>0</v>
      </c>
      <c r="V429" s="926">
        <f t="shared" si="205"/>
        <v>0</v>
      </c>
      <c r="W429" s="926">
        <f t="shared" si="205"/>
        <v>0</v>
      </c>
      <c r="X429" s="926">
        <f t="shared" si="205"/>
        <v>0</v>
      </c>
      <c r="Y429" s="926">
        <f t="shared" si="205"/>
        <v>0</v>
      </c>
      <c r="Z429" s="903">
        <f t="shared" si="199"/>
        <v>0</v>
      </c>
      <c r="AA429" s="903">
        <f t="shared" si="200"/>
        <v>0</v>
      </c>
      <c r="AB429" s="926">
        <f t="shared" ref="AB429:AI429" si="206">AB428+AB423</f>
        <v>0</v>
      </c>
      <c r="AC429" s="926">
        <f t="shared" si="206"/>
        <v>0</v>
      </c>
      <c r="AD429" s="926">
        <f t="shared" si="206"/>
        <v>0</v>
      </c>
      <c r="AE429" s="926">
        <f t="shared" si="206"/>
        <v>0</v>
      </c>
      <c r="AF429" s="926">
        <f t="shared" si="206"/>
        <v>0</v>
      </c>
      <c r="AG429" s="926">
        <f t="shared" si="206"/>
        <v>0</v>
      </c>
      <c r="AH429" s="926">
        <f t="shared" si="206"/>
        <v>0</v>
      </c>
      <c r="AI429" s="926">
        <f t="shared" si="206"/>
        <v>0</v>
      </c>
      <c r="AJ429" s="927">
        <f t="shared" si="197"/>
        <v>0</v>
      </c>
      <c r="AK429" s="928"/>
      <c r="AL429" s="1354"/>
      <c r="AM429" s="912"/>
      <c r="AN429" s="1356"/>
      <c r="AO429" s="13">
        <v>323</v>
      </c>
      <c r="AP429" s="80"/>
      <c r="AQ429" s="75"/>
    </row>
    <row r="430" spans="1:43" s="61" customFormat="1" ht="26.25" x14ac:dyDescent="0.4">
      <c r="A430" s="1368"/>
      <c r="B430" s="929" t="s">
        <v>518</v>
      </c>
      <c r="C430" s="930" t="s">
        <v>516</v>
      </c>
      <c r="D430" s="915"/>
      <c r="E430" s="916"/>
      <c r="F430" s="931"/>
      <c r="G430" s="931"/>
      <c r="H430" s="931"/>
      <c r="I430" s="931"/>
      <c r="J430" s="931"/>
      <c r="K430" s="931"/>
      <c r="L430" s="931"/>
      <c r="M430" s="931"/>
      <c r="N430" s="931"/>
      <c r="O430" s="931"/>
      <c r="P430" s="931"/>
      <c r="Q430" s="931"/>
      <c r="R430" s="931"/>
      <c r="S430" s="931"/>
      <c r="T430" s="931"/>
      <c r="U430" s="931"/>
      <c r="V430" s="931"/>
      <c r="W430" s="931"/>
      <c r="X430" s="931"/>
      <c r="Y430" s="931"/>
      <c r="Z430" s="903">
        <f t="shared" si="199"/>
        <v>0</v>
      </c>
      <c r="AA430" s="903">
        <f t="shared" si="200"/>
        <v>0</v>
      </c>
      <c r="AB430" s="931"/>
      <c r="AC430" s="931"/>
      <c r="AD430" s="931"/>
      <c r="AE430" s="931"/>
      <c r="AF430" s="931"/>
      <c r="AG430" s="931"/>
      <c r="AH430" s="931"/>
      <c r="AI430" s="931"/>
      <c r="AJ430" s="932">
        <f t="shared" si="197"/>
        <v>0</v>
      </c>
      <c r="AK430" s="919"/>
      <c r="AL430" s="1354"/>
      <c r="AM430" s="919" t="str">
        <f>CONCATENATE(IF(D428&gt;D430," * Newly Tested Positives "&amp;$D$20&amp;" "&amp;$D$21&amp;" is more than Total Positive Clients newly started on ART"&amp;CHAR(10),""),IF(E428&gt;E430," * Newly Tested Positives "&amp;$D$20&amp;" "&amp;$E$21&amp;" is more than Total Positive Clients newly started on ART"&amp;CHAR(10),""),IF(F428&gt;F430," * Newly Tested Positives "&amp;$F$20&amp;" "&amp;$F$21&amp;" is more than Total Positive Clients newly started on ART"&amp;CHAR(10),""),IF(G428&gt;G430," * Newly Tested Positives "&amp;$F$20&amp;" "&amp;$G$21&amp;" is more than Total Positive Clients newly started on ART"&amp;CHAR(10),""),IF(H428&gt;H430," * Newly Tested Positives "&amp;$H$20&amp;" "&amp;$H$21&amp;" is more than Total Positive Clients newly started on ART"&amp;CHAR(10),""),IF(I428&gt;I430," * Newly Tested Positives "&amp;$H$20&amp;" "&amp;$I$21&amp;" is more than Total Positive Clients newly started on ART"&amp;CHAR(10),""),IF(J428&gt;J430," * Newly Tested Positives "&amp;$J$20&amp;" "&amp;$J$21&amp;" is more than Total Positive Clients newly started on ART"&amp;CHAR(10),""),IF(K428&gt;K430," * Newly Tested Positives "&amp;$J$20&amp;" "&amp;$K$21&amp;" is more than Total Positive Clients newly started on ART"&amp;CHAR(10),""),IF(L428&gt;L430," * Newly Tested Positives "&amp;$L$20&amp;" "&amp;$L$21&amp;" is more than Total Positive Clients newly started on ART"&amp;CHAR(10),""),IF(M428&gt;M430," * Newly Tested Positives "&amp;$L$20&amp;" "&amp;$M$21&amp;" is more than Total Positive Clients newly started on ART"&amp;CHAR(10),""),IF(N428&gt;N430," * Newly Tested Positives "&amp;$N$20&amp;" "&amp;$N$21&amp;" is more than Total Positive Clients newly started on ART"&amp;CHAR(10),""),IF(O428&gt;O430," * Newly Tested Positives "&amp;$N$20&amp;" "&amp;$O$21&amp;" is more than Total Positive Clients newly started on ART"&amp;CHAR(10),""),IF(P428&gt;P430," * Newly Tested Positives "&amp;$P$20&amp;" "&amp;$P$21&amp;" is more than Total Positive Clients newly started on ART"&amp;CHAR(10),""),IF(Q428&gt;Q430," * Newly Tested Positives "&amp;$P$20&amp;" "&amp;$Q$21&amp;" is more than Total Positive Clients newly started on ART"&amp;CHAR(10),""),IF(R428&gt;R430," * Newly Tested Positives "&amp;$R$20&amp;" "&amp;$R$21&amp;" is more than Total Positive Clients newly started on ART"&amp;CHAR(10),""),IF(S428&gt;S430," * Newly Tested Positives "&amp;$R$20&amp;" "&amp;$S$21&amp;" is more than Total Positive Clients newly started on ART"&amp;CHAR(10),""),IF(T428&gt;T430," * Newly Tested Positives "&amp;$T$20&amp;" "&amp;$T$21&amp;" is more than Total Positive Clients newly started on ART"&amp;CHAR(10),""),IF(U428&gt;U430," * Newly Tested Positives "&amp;$T$20&amp;" "&amp;$U$21&amp;" is more than Total Positive Clients newly started on ART"&amp;CHAR(10),""),IF(V428&gt;V430," * Newly Tested Positives "&amp;$V$20&amp;" "&amp;$V$21&amp;" is more than Total Positive Clients newly started on ART"&amp;CHAR(10),""),IF(W428&gt;W430," * Newly Tested Positives "&amp;$V$20&amp;" "&amp;$W$21&amp;" is more than Total Positive Clients newly started on ART"&amp;CHAR(10),""),IF(X428&gt;X430," * Newly Tested Positives "&amp;$X$20&amp;" "&amp;$X$21&amp;" is more than Total Positive Clients newly started on ART"&amp;CHAR(10),""),IF(Y428&gt;Y430," * Newly Tested Positives "&amp;$X$20&amp;" "&amp;$Y$21&amp;" is more than Total Positive Clients newly started on ART"&amp;CHAR(10),""),IF(Z428&gt;Z430," * Newly Tested Positives "&amp;$Z$20&amp;" "&amp;$Z$21&amp;" is more than Total Positive Clients newly started on ART"&amp;CHAR(10),""),IF(AA428&gt;AA430," * Newly Tested Positives "&amp;$Z$20&amp;" "&amp;$AA$21&amp;" is more than Total Positive Clients newly started on ART"&amp;CHAR(10),""))</f>
        <v/>
      </c>
      <c r="AN430" s="1356"/>
      <c r="AO430" s="13">
        <v>324</v>
      </c>
      <c r="AP430" s="80"/>
      <c r="AQ430" s="75"/>
    </row>
    <row r="431" spans="1:43" s="61" customFormat="1" ht="26.25" x14ac:dyDescent="0.4">
      <c r="A431" s="1368"/>
      <c r="B431" s="933" t="s">
        <v>520</v>
      </c>
      <c r="C431" s="908" t="s">
        <v>517</v>
      </c>
      <c r="D431" s="921"/>
      <c r="E431" s="921"/>
      <c r="F431" s="921"/>
      <c r="G431" s="921"/>
      <c r="H431" s="921"/>
      <c r="I431" s="921"/>
      <c r="J431" s="921"/>
      <c r="K431" s="921"/>
      <c r="L431" s="921"/>
      <c r="M431" s="921"/>
      <c r="N431" s="921"/>
      <c r="O431" s="921"/>
      <c r="P431" s="921"/>
      <c r="Q431" s="921"/>
      <c r="R431" s="921"/>
      <c r="S431" s="921"/>
      <c r="T431" s="921"/>
      <c r="U431" s="921"/>
      <c r="V431" s="921"/>
      <c r="W431" s="921"/>
      <c r="X431" s="921"/>
      <c r="Y431" s="921"/>
      <c r="Z431" s="903">
        <f t="shared" ref="Z431" si="207">SUM(AB431,AD431,AF431,AH431)</f>
        <v>0</v>
      </c>
      <c r="AA431" s="903">
        <f t="shared" ref="AA431" si="208">SUM(AC431,AE431,AG431,AI431)</f>
        <v>0</v>
      </c>
      <c r="AB431" s="921"/>
      <c r="AC431" s="921"/>
      <c r="AD431" s="921"/>
      <c r="AE431" s="921"/>
      <c r="AF431" s="921"/>
      <c r="AG431" s="921"/>
      <c r="AH431" s="921"/>
      <c r="AI431" s="921"/>
      <c r="AJ431" s="910">
        <f t="shared" si="197"/>
        <v>0</v>
      </c>
      <c r="AK431" s="919" t="str">
        <f>CONCATENATE(IF(D423&lt;&gt;D431," * TB Cases Already on ART at entry in TB clinic "&amp;$D$20&amp;" "&amp;$D$21&amp;" is Not equal to  TB cases with known HIV +ve status"&amp;CHAR(10),""),IF(E423&lt;&gt;E431," * TB Cases Already on ART at entry in TB clinic "&amp;$D$20&amp;" "&amp;$E$21&amp;" is Not equal to  TB cases with known HIV +ve status"&amp;CHAR(10),""),IF(F423&lt;&gt;F431," * TB Cases Already on ART at entry in TB clinic "&amp;$F$20&amp;" "&amp;$F$21&amp;" is Not equal to  TB cases with known HIV +ve status"&amp;CHAR(10),""),IF(G423&lt;&gt;G431," * TB Cases Already on ART at entry in TB clinic "&amp;$F$20&amp;" "&amp;$G$21&amp;" is Not equal to  TB cases with known HIV +ve status"&amp;CHAR(10),""),IF(H423&lt;&gt;H431," * TB Cases Already on ART at entry in TB clinic "&amp;$H$20&amp;" "&amp;$H$21&amp;" is Not equal to  TB cases with known HIV +ve status"&amp;CHAR(10),""),IF(I423&lt;&gt;I431," * TB Cases Already on ART at entry in TB clinic "&amp;$H$20&amp;" "&amp;$I$21&amp;" is Not equal to  TB cases with known HIV +ve status"&amp;CHAR(10),""),IF(J423&lt;&gt;J431," * TB Cases Already on ART at entry in TB clinic "&amp;$J$20&amp;" "&amp;$J$21&amp;" is Not equal to  TB cases with known HIV +ve status"&amp;CHAR(10),""),IF(K423&lt;&gt;K431," * TB Cases Already on ART at entry in TB clinic "&amp;$J$20&amp;" "&amp;$K$21&amp;" is Not equal to  TB cases with known HIV +ve status"&amp;CHAR(10),""),IF(L423&lt;&gt;L431," * TB Cases Already on ART at entry in TB clinic "&amp;$L$20&amp;" "&amp;$L$21&amp;" is Not equal to  TB cases with known HIV +ve status"&amp;CHAR(10),""),IF(M423&lt;&gt;M431," * TB Cases Already on ART at entry in TB clinic "&amp;$L$20&amp;" "&amp;$M$21&amp;" is Not equal to  TB cases with known HIV +ve status"&amp;CHAR(10),""),IF(N423&lt;&gt;N431," * TB Cases Already on ART at entry in TB clinic "&amp;$N$20&amp;" "&amp;$N$21&amp;" is Not equal to  TB cases with known HIV +ve status"&amp;CHAR(10),""),IF(O423&lt;&gt;O431," * TB Cases Already on ART at entry in TB clinic "&amp;$N$20&amp;" "&amp;$O$21&amp;" is Not equal to  TB cases with known HIV +ve status"&amp;CHAR(10),""),IF(P423&lt;&gt;P431," * TB Cases Already on ART at entry in TB clinic "&amp;$P$20&amp;" "&amp;$P$21&amp;" is Not equal to  TB cases with known HIV +ve status"&amp;CHAR(10),""),IF(Q423&lt;&gt;Q431," * TB Cases Already on ART at entry in TB clinic "&amp;$P$20&amp;" "&amp;$Q$21&amp;" is Not equal to  TB cases with known HIV +ve status"&amp;CHAR(10),""),IF(R423&lt;&gt;R431," * TB Cases Already on ART at entry in TB clinic "&amp;$R$20&amp;" "&amp;$R$21&amp;" is Not equal to  TB cases with known HIV +ve status"&amp;CHAR(10),""),IF(S423&lt;&gt;S431," * TB Cases Already on ART at entry in TB clinic "&amp;$R$20&amp;" "&amp;$S$21&amp;" is Not equal to  TB cases with known HIV +ve status"&amp;CHAR(10),""),IF(T423&lt;&gt;T431," * TB Cases Already on ART at entry in TB clinic "&amp;$T$20&amp;" "&amp;$T$21&amp;" is Not equal to  TB cases with known HIV +ve status"&amp;CHAR(10),""),IF(U423&lt;&gt;U431," * TB Cases Already on ART at entry in TB clinic "&amp;$T$20&amp;" "&amp;$U$21&amp;" is Not equal to  TB cases with known HIV +ve status"&amp;CHAR(10),""),IF(V423&lt;&gt;V431," * TB Cases Already on ART at entry in TB clinic "&amp;$V$20&amp;" "&amp;$V$21&amp;" is Not equal to  TB cases with known HIV +ve status"&amp;CHAR(10),""),IF(W423&lt;&gt;W431," * TB Cases Already on ART at entry in TB clinic "&amp;$V$20&amp;" "&amp;$W$21&amp;" is Not equal to  TB cases with known HIV +ve status"&amp;CHAR(10),""),IF(X423&lt;&gt;X431," * TB Cases Already on ART at entry in TB clinic "&amp;$X$20&amp;" "&amp;$X$21&amp;" is Not equal to  TB cases with known HIV +ve status"&amp;CHAR(10),""),IF(Y423&lt;&gt;Y431," * TB Cases Already on ART at entry in TB clinic "&amp;$X$20&amp;" "&amp;$Y$21&amp;" is Not equal to  TB cases with known HIV +ve status"&amp;CHAR(10),""),IF(Z423&lt;&gt;Z431," * TB Cases Already on ART at entry in TB clinic "&amp;$Z$20&amp;" "&amp;$Z$21&amp;" is Not equal to  TB cases with known HIV +ve status"&amp;CHAR(10),""),IF(AA423&lt;&gt;AA431," * TB Cases Already on ART at entry in TB clinic "&amp;$Z$20&amp;" "&amp;$AA$21&amp;" is Not equal to  TB cases with known HIV +ve status"&amp;CHAR(10),""))</f>
        <v/>
      </c>
      <c r="AL431" s="1354"/>
      <c r="AM431" s="912"/>
      <c r="AN431" s="1356"/>
      <c r="AO431" s="13">
        <v>325</v>
      </c>
      <c r="AP431" s="80"/>
      <c r="AQ431" s="75"/>
    </row>
    <row r="432" spans="1:43" s="61" customFormat="1" ht="27" thickBot="1" x14ac:dyDescent="0.45">
      <c r="A432" s="1369"/>
      <c r="B432" s="934" t="s">
        <v>526</v>
      </c>
      <c r="C432" s="935" t="s">
        <v>525</v>
      </c>
      <c r="D432" s="936">
        <f t="shared" ref="D432:Y432" si="209">D431+D430</f>
        <v>0</v>
      </c>
      <c r="E432" s="936">
        <f t="shared" si="209"/>
        <v>0</v>
      </c>
      <c r="F432" s="936">
        <f t="shared" si="209"/>
        <v>0</v>
      </c>
      <c r="G432" s="936">
        <f t="shared" si="209"/>
        <v>0</v>
      </c>
      <c r="H432" s="936">
        <f t="shared" si="209"/>
        <v>0</v>
      </c>
      <c r="I432" s="936">
        <f t="shared" si="209"/>
        <v>0</v>
      </c>
      <c r="J432" s="936">
        <f t="shared" si="209"/>
        <v>0</v>
      </c>
      <c r="K432" s="936">
        <f t="shared" si="209"/>
        <v>0</v>
      </c>
      <c r="L432" s="936">
        <f t="shared" si="209"/>
        <v>0</v>
      </c>
      <c r="M432" s="936">
        <f t="shared" si="209"/>
        <v>0</v>
      </c>
      <c r="N432" s="936">
        <f t="shared" si="209"/>
        <v>0</v>
      </c>
      <c r="O432" s="936">
        <f t="shared" si="209"/>
        <v>0</v>
      </c>
      <c r="P432" s="936">
        <f t="shared" si="209"/>
        <v>0</v>
      </c>
      <c r="Q432" s="936">
        <f t="shared" si="209"/>
        <v>0</v>
      </c>
      <c r="R432" s="936">
        <f t="shared" si="209"/>
        <v>0</v>
      </c>
      <c r="S432" s="936">
        <f t="shared" si="209"/>
        <v>0</v>
      </c>
      <c r="T432" s="936">
        <f t="shared" si="209"/>
        <v>0</v>
      </c>
      <c r="U432" s="936">
        <f t="shared" si="209"/>
        <v>0</v>
      </c>
      <c r="V432" s="936">
        <f t="shared" si="209"/>
        <v>0</v>
      </c>
      <c r="W432" s="936">
        <f t="shared" si="209"/>
        <v>0</v>
      </c>
      <c r="X432" s="936">
        <f t="shared" si="209"/>
        <v>0</v>
      </c>
      <c r="Y432" s="936">
        <f t="shared" si="209"/>
        <v>0</v>
      </c>
      <c r="Z432" s="903">
        <f t="shared" ref="Z432" si="210">SUM(AB432,AD432,AF432,AH432)</f>
        <v>0</v>
      </c>
      <c r="AA432" s="903">
        <f t="shared" ref="AA432" si="211">SUM(AC432,AE432,AG432,AI432)</f>
        <v>0</v>
      </c>
      <c r="AB432" s="936">
        <f t="shared" ref="AB432:AI432" si="212">AB431+AB430</f>
        <v>0</v>
      </c>
      <c r="AC432" s="936">
        <f t="shared" si="212"/>
        <v>0</v>
      </c>
      <c r="AD432" s="936">
        <f t="shared" si="212"/>
        <v>0</v>
      </c>
      <c r="AE432" s="936">
        <f t="shared" si="212"/>
        <v>0</v>
      </c>
      <c r="AF432" s="936">
        <f t="shared" si="212"/>
        <v>0</v>
      </c>
      <c r="AG432" s="936">
        <f t="shared" si="212"/>
        <v>0</v>
      </c>
      <c r="AH432" s="936">
        <f t="shared" si="212"/>
        <v>0</v>
      </c>
      <c r="AI432" s="936">
        <f t="shared" si="212"/>
        <v>0</v>
      </c>
      <c r="AJ432" s="937">
        <f t="shared" si="197"/>
        <v>0</v>
      </c>
      <c r="AK432" s="919" t="str">
        <f>CONCATENATE(IF(D427&lt;D432," * HIV coinfected clients started on ART "&amp;$D$20&amp;" "&amp;$D$21&amp;" is more than TB cases with documented HIV status"&amp;CHAR(10),""),IF(E427&lt;E432," * HIV coinfected clients started on ART "&amp;$D$20&amp;" "&amp;$E$21&amp;" is more than TB cases with documented HIV status"&amp;CHAR(10),""),IF(F427&lt;F432," * HIV coinfected clients started on ART "&amp;$F$20&amp;" "&amp;$F$21&amp;" is more than TB cases with documented HIV status"&amp;CHAR(10),""),IF(G427&lt;G432," * HIV coinfected clients started on ART "&amp;$F$20&amp;" "&amp;$G$21&amp;" is more than TB cases with documented HIV status"&amp;CHAR(10),""),IF(H427&lt;H432," * HIV coinfected clients started on ART "&amp;$H$20&amp;" "&amp;$H$21&amp;" is more than TB cases with documented HIV status"&amp;CHAR(10),""),IF(I427&lt;I432," * HIV coinfected clients started on ART "&amp;$H$20&amp;" "&amp;$I$21&amp;" is more than TB cases with documented HIV status"&amp;CHAR(10),""),IF(J427&lt;J432," * HIV coinfected clients started on ART "&amp;$J$20&amp;" "&amp;$J$21&amp;" is more than TB cases with documented HIV status"&amp;CHAR(10),""),IF(K427&lt;K432," * HIV coinfected clients started on ART "&amp;$J$20&amp;" "&amp;$K$21&amp;" is more than TB cases with documented HIV status"&amp;CHAR(10),""),IF(L427&lt;L432," * HIV coinfected clients started on ART "&amp;$L$20&amp;" "&amp;$L$21&amp;" is more than TB cases with documented HIV status"&amp;CHAR(10),""),IF(M427&lt;M432," * HIV coinfected clients started on ART "&amp;$L$20&amp;" "&amp;$M$21&amp;" is more than TB cases with documented HIV status"&amp;CHAR(10),""),IF(N427&lt;N432," * HIV coinfected clients started on ART "&amp;$N$20&amp;" "&amp;$N$21&amp;" is more than TB cases with documented HIV status"&amp;CHAR(10),""),IF(O427&lt;O432," * HIV coinfected clients started on ART "&amp;$N$20&amp;" "&amp;$O$21&amp;" is more than TB cases with documented HIV status"&amp;CHAR(10),""),IF(P427&lt;P432," * HIV coinfected clients started on ART "&amp;$P$20&amp;" "&amp;$P$21&amp;" is more than TB cases with documented HIV status"&amp;CHAR(10),""),IF(Q427&lt;Q432," * HIV coinfected clients started on ART "&amp;$P$20&amp;" "&amp;$Q$21&amp;" is more than TB cases with documented HIV status"&amp;CHAR(10),""),IF(R427&lt;R432," * HIV coinfected clients started on ART "&amp;$R$20&amp;" "&amp;$R$21&amp;" is more than TB cases with documented HIV status"&amp;CHAR(10),""),IF(S427&lt;S432," * HIV coinfected clients started on ART "&amp;$R$20&amp;" "&amp;$S$21&amp;" is more than TB cases with documented HIV status"&amp;CHAR(10),""),IF(T427&lt;T432," * HIV coinfected clients started on ART "&amp;$T$20&amp;" "&amp;$T$21&amp;" is more than TB cases with documented HIV status"&amp;CHAR(10),""),IF(U427&lt;U432," * HIV coinfected clients started on ART "&amp;$T$20&amp;" "&amp;$U$21&amp;" is more than TB cases with documented HIV status"&amp;CHAR(10),""),IF(V427&lt;V432," * HIV coinfected clients started on ART "&amp;$V$20&amp;" "&amp;$V$21&amp;" is more than TB cases with documented HIV status"&amp;CHAR(10),""),IF(W427&lt;W432," * HIV coinfected clients started on ART "&amp;$V$20&amp;" "&amp;$W$21&amp;" is more than TB cases with documented HIV status"&amp;CHAR(10),""),IF(X427&lt;X432," * HIV coinfected clients started on ART "&amp;$X$20&amp;" "&amp;$X$21&amp;" is more than TB cases with documented HIV status"&amp;CHAR(10),""),IF(Y427&lt;Y432," * HIV coinfected clients started on ART "&amp;$X$20&amp;" "&amp;$Y$21&amp;" is more than TB cases with documented HIV status"&amp;CHAR(10),""),IF(Z427&lt;Z432," * HIV coinfected clients started on ART "&amp;$Z$20&amp;" "&amp;$Z$21&amp;" is more than TB cases with documented HIV status"&amp;CHAR(10),""),IF(AA427&lt;AA432," * HIV coinfected clients started on ART "&amp;$Z$20&amp;" "&amp;$AA$21&amp;" is more than TB cases with documented HIV status"&amp;CHAR(10),""))</f>
        <v/>
      </c>
      <c r="AL432" s="1355"/>
      <c r="AM432" s="912"/>
      <c r="AN432" s="1357"/>
      <c r="AO432" s="13">
        <v>326</v>
      </c>
      <c r="AP432" s="80"/>
      <c r="AQ432" s="75"/>
    </row>
    <row r="433" spans="1:43" ht="27" hidden="1" thickBot="1" x14ac:dyDescent="0.45">
      <c r="A433" s="1117" t="s">
        <v>918</v>
      </c>
      <c r="B433" s="1117"/>
      <c r="C433" s="1117"/>
      <c r="D433" s="1117"/>
      <c r="E433" s="1117"/>
      <c r="F433" s="1117"/>
      <c r="G433" s="1117"/>
      <c r="H433" s="1117"/>
      <c r="I433" s="1117"/>
      <c r="J433" s="1117"/>
      <c r="K433" s="1117"/>
      <c r="L433" s="1117"/>
      <c r="M433" s="1117"/>
      <c r="N433" s="1117"/>
      <c r="O433" s="1117"/>
      <c r="P433" s="1117"/>
      <c r="Q433" s="1117"/>
      <c r="R433" s="1117"/>
      <c r="S433" s="1117"/>
      <c r="T433" s="1117"/>
      <c r="U433" s="1117"/>
      <c r="V433" s="1117"/>
      <c r="W433" s="1117"/>
      <c r="X433" s="1117"/>
      <c r="Y433" s="1117"/>
      <c r="Z433" s="1117"/>
      <c r="AA433" s="1117"/>
      <c r="AB433" s="1117"/>
      <c r="AC433" s="1117"/>
      <c r="AD433" s="1117"/>
      <c r="AE433" s="1117"/>
      <c r="AF433" s="1117"/>
      <c r="AG433" s="1117"/>
      <c r="AH433" s="1117"/>
      <c r="AI433" s="1117"/>
      <c r="AJ433" s="1117"/>
      <c r="AK433" s="1349"/>
      <c r="AL433" s="1117"/>
      <c r="AM433" s="1350"/>
      <c r="AN433" s="1351"/>
      <c r="AO433" s="13">
        <v>327</v>
      </c>
      <c r="AP433" s="74"/>
      <c r="AQ433" s="75"/>
    </row>
    <row r="434" spans="1:43" ht="27" hidden="1" thickBot="1" x14ac:dyDescent="0.45">
      <c r="A434" s="262" t="s">
        <v>920</v>
      </c>
      <c r="B434" s="262" t="s">
        <v>919</v>
      </c>
      <c r="C434" s="581" t="s">
        <v>917</v>
      </c>
      <c r="D434" s="263"/>
      <c r="E434" s="264"/>
      <c r="F434" s="263"/>
      <c r="G434" s="264"/>
      <c r="H434" s="263"/>
      <c r="I434" s="264"/>
      <c r="J434" s="94"/>
      <c r="K434" s="94"/>
      <c r="L434" s="94"/>
      <c r="M434" s="94"/>
      <c r="N434" s="94"/>
      <c r="O434" s="94"/>
      <c r="P434" s="94"/>
      <c r="Q434" s="94"/>
      <c r="R434" s="94"/>
      <c r="S434" s="94"/>
      <c r="T434" s="94"/>
      <c r="U434" s="94"/>
      <c r="V434" s="94"/>
      <c r="W434" s="94"/>
      <c r="X434" s="94"/>
      <c r="Y434" s="94"/>
      <c r="Z434" s="94"/>
      <c r="AA434" s="94"/>
      <c r="AB434" s="310"/>
      <c r="AC434" s="310"/>
      <c r="AD434" s="310"/>
      <c r="AE434" s="310"/>
      <c r="AF434" s="310"/>
      <c r="AG434" s="310"/>
      <c r="AH434" s="310"/>
      <c r="AI434" s="310"/>
      <c r="AJ434" s="65">
        <f t="shared" ref="AJ434" si="213">SUM(D434:AA434)</f>
        <v>0</v>
      </c>
      <c r="AK434" s="30"/>
      <c r="AL434" s="266"/>
      <c r="AM434" s="267" t="str">
        <f>CONCATENATE(IF(D432&gt;D434," * Newly Tested Positives "&amp;$D$20&amp;" "&amp;$D$21&amp;" is more than Total Positive Clients newly started on ART"&amp;CHAR(10),""),IF(E432&gt;E434," * Newly Tested Positives "&amp;$D$20&amp;" "&amp;$E$21&amp;" is more than Total Positive Clients newly started on ART"&amp;CHAR(10),""),IF(F432&gt;F434," * Newly Tested Positives "&amp;$F$20&amp;" "&amp;$F$21&amp;" is more than Total Positive Clients newly started on ART"&amp;CHAR(10),""),IF(G432&gt;G434," * Newly Tested Positives "&amp;$F$20&amp;" "&amp;$G$21&amp;" is more than Total Positive Clients newly started on ART"&amp;CHAR(10),""),IF(H432&gt;H434," * Newly Tested Positives "&amp;$H$20&amp;" "&amp;$H$21&amp;" is more than Total Positive Clients newly started on ART"&amp;CHAR(10),""),IF(I432&gt;I434," * Newly Tested Positives "&amp;$H$20&amp;" "&amp;$I$21&amp;" is more than Total Positive Clients newly started on ART"&amp;CHAR(10),""),IF(J432&gt;J434," * Newly Tested Positives "&amp;$J$20&amp;" "&amp;$J$21&amp;" is more than Total Positive Clients newly started on ART"&amp;CHAR(10),""),IF(K432&gt;K434," * Newly Tested Positives "&amp;$J$20&amp;" "&amp;$K$21&amp;" is more than Total Positive Clients newly started on ART"&amp;CHAR(10),""),IF(L432&gt;L434," * Newly Tested Positives "&amp;$L$20&amp;" "&amp;$L$21&amp;" is more than Total Positive Clients newly started on ART"&amp;CHAR(10),""),IF(M432&gt;M434," * Newly Tested Positives "&amp;$L$20&amp;" "&amp;$M$21&amp;" is more than Total Positive Clients newly started on ART"&amp;CHAR(10),""),IF(N432&gt;N434," * Newly Tested Positives "&amp;$N$20&amp;" "&amp;$N$21&amp;" is more than Total Positive Clients newly started on ART"&amp;CHAR(10),""),IF(O432&gt;O434," * Newly Tested Positives "&amp;$N$20&amp;" "&amp;$O$21&amp;" is more than Total Positive Clients newly started on ART"&amp;CHAR(10),""),IF(P432&gt;P434," * Newly Tested Positives "&amp;$P$20&amp;" "&amp;$P$21&amp;" is more than Total Positive Clients newly started on ART"&amp;CHAR(10),""),IF(Q432&gt;Q434," * Newly Tested Positives "&amp;$P$20&amp;" "&amp;$Q$21&amp;" is more than Total Positive Clients newly started on ART"&amp;CHAR(10),""),IF(R432&gt;R434," * Newly Tested Positives "&amp;$R$20&amp;" "&amp;$R$21&amp;" is more than Total Positive Clients newly started on ART"&amp;CHAR(10),""),IF(S432&gt;S434," * Newly Tested Positives "&amp;$R$20&amp;" "&amp;$S$21&amp;" is more than Total Positive Clients newly started on ART"&amp;CHAR(10),""),IF(T432&gt;T434," * Newly Tested Positives "&amp;$T$20&amp;" "&amp;$T$21&amp;" is more than Total Positive Clients newly started on ART"&amp;CHAR(10),""),IF(U432&gt;U434," * Newly Tested Positives "&amp;$T$20&amp;" "&amp;$U$21&amp;" is more than Total Positive Clients newly started on ART"&amp;CHAR(10),""),IF(V432&gt;V434," * Newly Tested Positives "&amp;$V$20&amp;" "&amp;$V$21&amp;" is more than Total Positive Clients newly started on ART"&amp;CHAR(10),""),IF(W432&gt;W434," * Newly Tested Positives "&amp;$V$20&amp;" "&amp;$W$21&amp;" is more than Total Positive Clients newly started on ART"&amp;CHAR(10),""),IF(X432&gt;X434," * Newly Tested Positives "&amp;$X$20&amp;" "&amp;$X$21&amp;" is more than Total Positive Clients newly started on ART"&amp;CHAR(10),""),IF(Y432&gt;Y434," * Newly Tested Positives "&amp;$X$20&amp;" "&amp;$Y$21&amp;" is more than Total Positive Clients newly started on ART"&amp;CHAR(10),""),IF(Z432&gt;Z434," * Newly Tested Positives "&amp;$Z$20&amp;" "&amp;$Z$21&amp;" is more than Total Positive Clients newly started on ART"&amp;CHAR(10),""),IF(AA432&gt;AA434," * Newly Tested Positives "&amp;$Z$20&amp;" "&amp;$AA$21&amp;" is more than Total Positive Clients newly started on ART"&amp;CHAR(10),""))</f>
        <v/>
      </c>
      <c r="AN434" s="268"/>
      <c r="AO434" s="13">
        <v>328</v>
      </c>
      <c r="AP434" s="74"/>
      <c r="AQ434" s="75"/>
    </row>
    <row r="435" spans="1:43" ht="36.75" customHeight="1" thickBot="1" x14ac:dyDescent="0.45">
      <c r="A435" s="1120" t="s">
        <v>1052</v>
      </c>
      <c r="B435" s="1118"/>
      <c r="C435" s="1118"/>
      <c r="D435" s="1118"/>
      <c r="E435" s="1118"/>
      <c r="F435" s="1118"/>
      <c r="G435" s="1118"/>
      <c r="H435" s="1118"/>
      <c r="I435" s="1118"/>
      <c r="J435" s="1118"/>
      <c r="K435" s="1118"/>
      <c r="L435" s="1118"/>
      <c r="M435" s="1118"/>
      <c r="N435" s="1118"/>
      <c r="O435" s="1118"/>
      <c r="P435" s="1118"/>
      <c r="Q435" s="1118"/>
      <c r="R435" s="1118"/>
      <c r="S435" s="1118"/>
      <c r="T435" s="1118"/>
      <c r="U435" s="1118"/>
      <c r="V435" s="1118"/>
      <c r="W435" s="1118"/>
      <c r="X435" s="1118"/>
      <c r="Y435" s="1118"/>
      <c r="Z435" s="1118"/>
      <c r="AA435" s="1118"/>
      <c r="AB435" s="1118"/>
      <c r="AC435" s="1118"/>
      <c r="AD435" s="1118"/>
      <c r="AE435" s="1118"/>
      <c r="AF435" s="1118"/>
      <c r="AG435" s="1118"/>
      <c r="AH435" s="1118"/>
      <c r="AI435" s="1118"/>
      <c r="AJ435" s="1118"/>
      <c r="AK435" s="1118"/>
      <c r="AL435" s="1118"/>
      <c r="AM435" s="1118"/>
      <c r="AN435" s="1202"/>
      <c r="AO435" s="469"/>
      <c r="AP435" s="471"/>
      <c r="AQ435" s="471"/>
    </row>
    <row r="436" spans="1:43" s="14" customFormat="1" ht="33" customHeight="1" x14ac:dyDescent="0.4">
      <c r="A436" s="1164" t="s">
        <v>36</v>
      </c>
      <c r="B436" s="1160" t="s">
        <v>321</v>
      </c>
      <c r="C436" s="1162" t="s">
        <v>305</v>
      </c>
      <c r="D436" s="1166" t="s">
        <v>0</v>
      </c>
      <c r="E436" s="1166"/>
      <c r="F436" s="1166" t="s">
        <v>1</v>
      </c>
      <c r="G436" s="1166"/>
      <c r="H436" s="1166" t="s">
        <v>2</v>
      </c>
      <c r="I436" s="1166"/>
      <c r="J436" s="1166" t="s">
        <v>3</v>
      </c>
      <c r="K436" s="1166"/>
      <c r="L436" s="1166" t="s">
        <v>4</v>
      </c>
      <c r="M436" s="1166"/>
      <c r="N436" s="1166" t="s">
        <v>5</v>
      </c>
      <c r="O436" s="1166"/>
      <c r="P436" s="1166" t="s">
        <v>6</v>
      </c>
      <c r="Q436" s="1166"/>
      <c r="R436" s="1166" t="s">
        <v>7</v>
      </c>
      <c r="S436" s="1166"/>
      <c r="T436" s="1166" t="s">
        <v>8</v>
      </c>
      <c r="U436" s="1166"/>
      <c r="V436" s="1166" t="s">
        <v>23</v>
      </c>
      <c r="W436" s="1166"/>
      <c r="X436" s="1166" t="s">
        <v>24</v>
      </c>
      <c r="Y436" s="1166"/>
      <c r="Z436" s="1166" t="s">
        <v>9</v>
      </c>
      <c r="AA436" s="1166"/>
      <c r="AB436" s="1140" t="s">
        <v>963</v>
      </c>
      <c r="AC436" s="1184"/>
      <c r="AD436" s="1140" t="s">
        <v>964</v>
      </c>
      <c r="AE436" s="1184"/>
      <c r="AF436" s="1140" t="s">
        <v>1127</v>
      </c>
      <c r="AG436" s="1184"/>
      <c r="AH436" s="1140" t="s">
        <v>1128</v>
      </c>
      <c r="AI436" s="1184"/>
      <c r="AJ436" s="1254" t="s">
        <v>19</v>
      </c>
      <c r="AK436" s="1211" t="s">
        <v>354</v>
      </c>
      <c r="AL436" s="1187" t="s">
        <v>360</v>
      </c>
      <c r="AM436" s="1179" t="s">
        <v>361</v>
      </c>
      <c r="AN436" s="1243" t="s">
        <v>361</v>
      </c>
      <c r="AO436" s="469"/>
      <c r="AP436" s="471"/>
      <c r="AQ436" s="471"/>
    </row>
    <row r="437" spans="1:43" s="14" customFormat="1" ht="33" customHeight="1" thickBot="1" x14ac:dyDescent="0.45">
      <c r="A437" s="1333"/>
      <c r="B437" s="1275"/>
      <c r="C437" s="1163"/>
      <c r="D437" s="284" t="s">
        <v>10</v>
      </c>
      <c r="E437" s="284" t="s">
        <v>11</v>
      </c>
      <c r="F437" s="284" t="s">
        <v>10</v>
      </c>
      <c r="G437" s="284" t="s">
        <v>11</v>
      </c>
      <c r="H437" s="284" t="s">
        <v>10</v>
      </c>
      <c r="I437" s="284" t="s">
        <v>11</v>
      </c>
      <c r="J437" s="284" t="s">
        <v>10</v>
      </c>
      <c r="K437" s="284" t="s">
        <v>11</v>
      </c>
      <c r="L437" s="284" t="s">
        <v>10</v>
      </c>
      <c r="M437" s="284" t="s">
        <v>11</v>
      </c>
      <c r="N437" s="284" t="s">
        <v>10</v>
      </c>
      <c r="O437" s="284" t="s">
        <v>11</v>
      </c>
      <c r="P437" s="284" t="s">
        <v>10</v>
      </c>
      <c r="Q437" s="284" t="s">
        <v>11</v>
      </c>
      <c r="R437" s="284" t="s">
        <v>10</v>
      </c>
      <c r="S437" s="284" t="s">
        <v>11</v>
      </c>
      <c r="T437" s="284" t="s">
        <v>10</v>
      </c>
      <c r="U437" s="284" t="s">
        <v>11</v>
      </c>
      <c r="V437" s="284" t="s">
        <v>10</v>
      </c>
      <c r="W437" s="284" t="s">
        <v>11</v>
      </c>
      <c r="X437" s="284" t="s">
        <v>10</v>
      </c>
      <c r="Y437" s="284" t="s">
        <v>11</v>
      </c>
      <c r="Z437" s="284" t="s">
        <v>10</v>
      </c>
      <c r="AA437" s="284" t="s">
        <v>11</v>
      </c>
      <c r="AB437" s="284" t="s">
        <v>10</v>
      </c>
      <c r="AC437" s="284" t="s">
        <v>11</v>
      </c>
      <c r="AD437" s="284" t="s">
        <v>10</v>
      </c>
      <c r="AE437" s="284" t="s">
        <v>11</v>
      </c>
      <c r="AF437" s="284" t="s">
        <v>10</v>
      </c>
      <c r="AG437" s="284" t="s">
        <v>11</v>
      </c>
      <c r="AH437" s="284" t="s">
        <v>10</v>
      </c>
      <c r="AI437" s="284" t="s">
        <v>11</v>
      </c>
      <c r="AJ437" s="1370"/>
      <c r="AK437" s="1212"/>
      <c r="AL437" s="1138"/>
      <c r="AM437" s="1252"/>
      <c r="AN437" s="1244"/>
      <c r="AO437" s="469"/>
      <c r="AP437" s="471"/>
      <c r="AQ437" s="471"/>
    </row>
    <row r="438" spans="1:43" s="83" customFormat="1" ht="27" thickBot="1" x14ac:dyDescent="0.45">
      <c r="A438" s="1399" t="s">
        <v>109</v>
      </c>
      <c r="B438" s="735" t="s">
        <v>138</v>
      </c>
      <c r="C438" s="739" t="s">
        <v>1053</v>
      </c>
      <c r="D438" s="722"/>
      <c r="E438" s="750"/>
      <c r="F438" s="761">
        <f t="shared" ref="F438:AI438" si="214">F28</f>
        <v>0</v>
      </c>
      <c r="G438" s="487">
        <f t="shared" si="214"/>
        <v>0</v>
      </c>
      <c r="H438" s="487">
        <f t="shared" si="214"/>
        <v>0</v>
      </c>
      <c r="I438" s="487">
        <f t="shared" si="214"/>
        <v>0</v>
      </c>
      <c r="J438" s="487">
        <f t="shared" si="214"/>
        <v>0</v>
      </c>
      <c r="K438" s="487">
        <f t="shared" si="214"/>
        <v>0</v>
      </c>
      <c r="L438" s="487">
        <f t="shared" si="214"/>
        <v>0</v>
      </c>
      <c r="M438" s="487">
        <f t="shared" si="214"/>
        <v>0</v>
      </c>
      <c r="N438" s="487">
        <f t="shared" si="214"/>
        <v>0</v>
      </c>
      <c r="O438" s="487">
        <f t="shared" si="214"/>
        <v>0</v>
      </c>
      <c r="P438" s="487">
        <f t="shared" si="214"/>
        <v>0</v>
      </c>
      <c r="Q438" s="487">
        <f t="shared" si="214"/>
        <v>0</v>
      </c>
      <c r="R438" s="487">
        <f t="shared" si="214"/>
        <v>0</v>
      </c>
      <c r="S438" s="487">
        <f t="shared" si="214"/>
        <v>0</v>
      </c>
      <c r="T438" s="487">
        <f t="shared" si="214"/>
        <v>0</v>
      </c>
      <c r="U438" s="487">
        <f t="shared" si="214"/>
        <v>0</v>
      </c>
      <c r="V438" s="487">
        <f t="shared" si="214"/>
        <v>0</v>
      </c>
      <c r="W438" s="487">
        <f t="shared" si="214"/>
        <v>0</v>
      </c>
      <c r="X438" s="487">
        <f t="shared" si="214"/>
        <v>0</v>
      </c>
      <c r="Y438" s="487">
        <f t="shared" si="214"/>
        <v>0</v>
      </c>
      <c r="Z438" s="487">
        <f t="shared" si="214"/>
        <v>0</v>
      </c>
      <c r="AA438" s="487">
        <f t="shared" si="214"/>
        <v>0</v>
      </c>
      <c r="AB438" s="487">
        <f t="shared" si="214"/>
        <v>0</v>
      </c>
      <c r="AC438" s="487">
        <f t="shared" si="214"/>
        <v>0</v>
      </c>
      <c r="AD438" s="487">
        <f t="shared" si="214"/>
        <v>0</v>
      </c>
      <c r="AE438" s="487">
        <f t="shared" si="214"/>
        <v>0</v>
      </c>
      <c r="AF438" s="487">
        <f t="shared" si="214"/>
        <v>0</v>
      </c>
      <c r="AG438" s="487">
        <f t="shared" si="214"/>
        <v>0</v>
      </c>
      <c r="AH438" s="487">
        <f t="shared" si="214"/>
        <v>0</v>
      </c>
      <c r="AI438" s="487">
        <f t="shared" si="214"/>
        <v>0</v>
      </c>
      <c r="AJ438" s="477">
        <f t="shared" ref="AJ438:AJ440" si="215">SUM(D438:AA438)</f>
        <v>0</v>
      </c>
      <c r="AK438" s="545" t="str">
        <f>CONCATENATE(IF((D439+D440+D441+D442)&lt;&gt;D438," * "&amp;$A438&amp;" , "&amp;$B439&amp;" plus "&amp;$B440&amp;" plus "&amp;$B441&amp;" plus "&amp;$B442&amp;" For age "&amp;$D$20&amp;" "&amp;$D$21&amp;" should be equal to "&amp;$B438&amp;""&amp;CHAR(10),""),IF((E439+E440+E441+E442)&lt;&gt;E438," * "&amp;$A438&amp;" , "&amp;$B439&amp;" plus "&amp;$B440&amp;" plus "&amp;$B441&amp;" plus "&amp;$B442&amp;" For age "&amp;$D$20&amp;" "&amp;$E$21&amp;" should be equal to "&amp;$B438&amp;""&amp;CHAR(10),""),IF((F439+F440+F441+F442)&lt;&gt;F438," * "&amp;$A438&amp;" , "&amp;$B439&amp;" plus "&amp;$B440&amp;" plus "&amp;$B441&amp;" plus "&amp;$B442&amp;" For age "&amp;$F$20&amp;" "&amp;$F$21&amp;" should be equal to "&amp;$B438&amp;""&amp;CHAR(10),""),IF((G439+G440+G441+G442)&lt;&gt;G438," * "&amp;$A438&amp;" , "&amp;$B439&amp;" plus "&amp;$B440&amp;" plus "&amp;$B441&amp;" plus "&amp;$B442&amp;" For age "&amp;$F$20&amp;" "&amp;$G$21&amp;" should be equal to "&amp;$B438&amp;""&amp;CHAR(10),""),IF((H439+H440+H441+H442)&lt;&gt;H438," * "&amp;$A438&amp;" , "&amp;$B439&amp;" plus "&amp;$B440&amp;" plus "&amp;$B441&amp;" plus "&amp;$B442&amp;" For age "&amp;$H$20&amp;" "&amp;$H$21&amp;" should be equal to "&amp;$B438&amp;""&amp;CHAR(10),""),IF((I439+I440+I441+I442)&lt;&gt;I438," * "&amp;$A438&amp;" , "&amp;$B439&amp;" plus "&amp;$B440&amp;" plus "&amp;$B441&amp;" plus "&amp;$B442&amp;" For age "&amp;$H$20&amp;" "&amp;$I$21&amp;" should be equal to "&amp;$B438&amp;""&amp;CHAR(10),""),IF((J439+J440+J441+J442)&lt;&gt;J438," * "&amp;$A438&amp;" , "&amp;$B439&amp;" plus "&amp;$B440&amp;" plus "&amp;$B441&amp;" plus "&amp;$B442&amp;" For age "&amp;$J$20&amp;" "&amp;$J$21&amp;" should be equal to "&amp;$B438&amp;""&amp;CHAR(10),""),IF((K439+K440+K441+K442)&lt;&gt;K438," * "&amp;$A438&amp;" , "&amp;$B439&amp;" plus "&amp;$B440&amp;" plus "&amp;$B441&amp;" plus "&amp;$B442&amp;" For age "&amp;$J$20&amp;" "&amp;$K$21&amp;" should be equal to "&amp;$B438&amp;""&amp;CHAR(10),""),IF((L439+L440+L441+L442)&lt;&gt;L438," * "&amp;$A438&amp;" , "&amp;$B439&amp;" plus "&amp;$B440&amp;" plus "&amp;$B441&amp;" plus "&amp;$B442&amp;" For age "&amp;$L$20&amp;" "&amp;$L$21&amp;" should be equal to "&amp;$B438&amp;""&amp;CHAR(10),""),IF((M439+M440+M441+M442)&lt;&gt;M438," * "&amp;$A438&amp;" , "&amp;$B439&amp;" plus "&amp;$B440&amp;" plus "&amp;$B441&amp;" plus "&amp;$B442&amp;" For age "&amp;$L$20&amp;" "&amp;$M$21&amp;" should be equal to "&amp;$B438&amp;""&amp;CHAR(10),""),IF((N439+N440+N441+N442)&lt;&gt;N438," * "&amp;$A438&amp;" , "&amp;$B439&amp;" plus "&amp;$B440&amp;" plus "&amp;$B441&amp;" plus "&amp;$B442&amp;" For age "&amp;$N$20&amp;" "&amp;$N$21&amp;" should be equal to "&amp;$B438&amp;""&amp;CHAR(10),""),IF((O439+O440+O441+O442)&lt;&gt;O438," * "&amp;$A438&amp;" , "&amp;$B439&amp;" plus "&amp;$B440&amp;" plus "&amp;$B441&amp;" plus "&amp;$B442&amp;" For age "&amp;$N$20&amp;" "&amp;$O$21&amp;" should be equal to "&amp;$B438&amp;""&amp;CHAR(10),""),IF((P439+P440+P441+P442)&lt;&gt;P438," * "&amp;$A438&amp;" , "&amp;$B439&amp;" plus "&amp;$B440&amp;" plus "&amp;$B441&amp;" plus "&amp;$B442&amp;" For age "&amp;$P$20&amp;" "&amp;$P$21&amp;" should be equal to "&amp;$B438&amp;""&amp;CHAR(10),""),IF((Q439+Q440+Q441+Q442)&lt;&gt;Q438," * "&amp;$A438&amp;" , "&amp;$B439&amp;" plus "&amp;$B440&amp;" plus "&amp;$B441&amp;" plus "&amp;$B442&amp;" For age "&amp;$P$20&amp;" "&amp;$Q$21&amp;" should be equal to "&amp;$B438&amp;""&amp;CHAR(10),""),IF((R439+R440+R441+R442)&lt;&gt;R438," * "&amp;$A438&amp;" , "&amp;$B439&amp;" plus "&amp;$B440&amp;" plus "&amp;$B441&amp;" plus "&amp;$B442&amp;" For age "&amp;$R$20&amp;" "&amp;$R$21&amp;" should be equal to "&amp;$B438&amp;""&amp;CHAR(10),""),IF((S439+S440+S441+S442)&lt;&gt;S438," * "&amp;$A438&amp;" , "&amp;$B439&amp;" plus "&amp;$B440&amp;" plus "&amp;$B441&amp;" plus "&amp;$B442&amp;" For age "&amp;$R$20&amp;" "&amp;$S$21&amp;" should be equal to "&amp;$B438&amp;""&amp;CHAR(10),""),IF((T439+T440+T441+T442)&lt;&gt;T438," * "&amp;$A438&amp;" , "&amp;$B439&amp;" plus "&amp;$B440&amp;" plus "&amp;$B441&amp;" plus "&amp;$B442&amp;" For age "&amp;$T$20&amp;" "&amp;$T$21&amp;" should be equal to "&amp;$B438&amp;""&amp;CHAR(10),""),IF((U439+U440+U441+U442)&lt;&gt;U438," * "&amp;$A438&amp;" , "&amp;$B439&amp;" plus "&amp;$B440&amp;" plus "&amp;$B441&amp;" plus "&amp;$B442&amp;" For age "&amp;$T$20&amp;" "&amp;$U$21&amp;" should be equal to "&amp;$B438&amp;""&amp;CHAR(10),""),IF((V439+V440+V441+V442)&lt;&gt;V438," * "&amp;$A438&amp;" , "&amp;$B439&amp;" plus "&amp;$B440&amp;" plus "&amp;$B441&amp;" plus "&amp;$B442&amp;" For age "&amp;$V$20&amp;" "&amp;$V$21&amp;" should be equal to "&amp;$B438&amp;""&amp;CHAR(10),""),IF((W439+W440+W441+W442)&lt;&gt;W438," * "&amp;$A438&amp;" , "&amp;$B439&amp;" plus "&amp;$B440&amp;" plus "&amp;$B441&amp;" plus "&amp;$B442&amp;" For age "&amp;$V$20&amp;" "&amp;$W$21&amp;" should be equal to "&amp;$B438&amp;""&amp;CHAR(10),""),IF((X439+X440+X441+X442)&lt;&gt;X438," * "&amp;$A438&amp;" , "&amp;$B439&amp;" plus "&amp;$B440&amp;" plus "&amp;$B441&amp;" plus "&amp;$B442&amp;" For age "&amp;$X$20&amp;" "&amp;$X$21&amp;" should be equal to "&amp;$B438&amp;""&amp;CHAR(10),""),IF((Y439+Y440+Y441+Y442)&lt;&gt;Y438," * "&amp;$A438&amp;" , "&amp;$B439&amp;" plus "&amp;$B440&amp;" plus "&amp;$B441&amp;" plus "&amp;$B442&amp;" For age "&amp;$X$20&amp;" "&amp;$Y$21&amp;" should be equal to "&amp;$B438&amp;""&amp;CHAR(10),""),IF((Z439+Z440+Z441+Z442)&lt;&gt;Z438," * "&amp;$A438&amp;" , "&amp;$B439&amp;" plus "&amp;$B440&amp;" plus "&amp;$B441&amp;" plus "&amp;$B442&amp;" For age "&amp;$Z$20&amp;" "&amp;$Z$21&amp;" should be equal to "&amp;$B438&amp;""&amp;CHAR(10),""),IF((AA439+AA440+AA441+AA442)&lt;&gt;AA438," * "&amp;$A438&amp;" , "&amp;$B439&amp;" plus "&amp;$B440&amp;" plus "&amp;$B441&amp;" plus "&amp;$B442&amp;" For age "&amp;$Z$20&amp;" "&amp;$AA$21&amp;" should be equal to "&amp;$B438&amp;""&amp;CHAR(10),""))</f>
        <v/>
      </c>
      <c r="AL438" s="1149" t="str">
        <f>CONCATENATE(AK438,AK439,AK442,AK443,AK444,AK446,AK447,AK448,AK449,AK451,AK452,AK453,AK454,AK456,AK457,AK458,AK459,AK461,AK462,AK463,AK464,AK466,AK467,AK468,AK469,AK471,AK472,AK473,AK474,AK477,AK441,AK476,AK478,AK479,AK481,AK482,AK483,AK484,AK486,AK487,AK488,AK489,AK492,AK491,AK493,AK494,AK496,AK497,AK498,AK499,AK501,AK502)</f>
        <v/>
      </c>
      <c r="AM438" s="31"/>
      <c r="AN438" s="792"/>
      <c r="AO438" s="13">
        <v>31</v>
      </c>
      <c r="AP438" s="81"/>
      <c r="AQ438" s="82"/>
    </row>
    <row r="439" spans="1:43" s="83" customFormat="1" ht="26.25" x14ac:dyDescent="0.4">
      <c r="A439" s="1400"/>
      <c r="B439" s="736" t="s">
        <v>1075</v>
      </c>
      <c r="C439" s="740" t="s">
        <v>1054</v>
      </c>
      <c r="D439" s="625"/>
      <c r="E439" s="751"/>
      <c r="F439" s="550"/>
      <c r="G439" s="547"/>
      <c r="H439" s="547"/>
      <c r="I439" s="547"/>
      <c r="J439" s="547"/>
      <c r="K439" s="547"/>
      <c r="L439" s="547"/>
      <c r="M439" s="547"/>
      <c r="N439" s="547"/>
      <c r="O439" s="547"/>
      <c r="P439" s="547"/>
      <c r="Q439" s="547"/>
      <c r="R439" s="547"/>
      <c r="S439" s="547"/>
      <c r="T439" s="547"/>
      <c r="U439" s="547"/>
      <c r="V439" s="547"/>
      <c r="W439" s="547"/>
      <c r="X439" s="547"/>
      <c r="Y439" s="547"/>
      <c r="Z439" s="489">
        <f t="shared" ref="Z439:Z442" si="216">SUM(AB439,AD439,AF439,AH439)</f>
        <v>0</v>
      </c>
      <c r="AA439" s="489">
        <f t="shared" ref="AA439:AA442" si="217">SUM(AC439,AE439,AG439,AI439)</f>
        <v>0</v>
      </c>
      <c r="AB439" s="547"/>
      <c r="AC439" s="547"/>
      <c r="AD439" s="547"/>
      <c r="AE439" s="547"/>
      <c r="AF439" s="547"/>
      <c r="AG439" s="547"/>
      <c r="AH439" s="547"/>
      <c r="AI439" s="547"/>
      <c r="AJ439" s="478">
        <f t="shared" si="215"/>
        <v>0</v>
      </c>
      <c r="AK439" s="1216"/>
      <c r="AL439" s="1150"/>
      <c r="AM439" s="31" t="str">
        <f>CONCATENATE(IF(AND(IFERROR((AJ440*100)/AJ439,0)&gt;10,AJ440&gt;5)," * This facility has a high positivity rate for Index Testing. Kindly confirm if this is the true reflection"&amp;CHAR(10),""),"")</f>
        <v/>
      </c>
      <c r="AN439" s="793"/>
      <c r="AO439" s="13">
        <v>32</v>
      </c>
      <c r="AP439" s="81"/>
      <c r="AQ439" s="82"/>
    </row>
    <row r="440" spans="1:43" s="83" customFormat="1" ht="26.25" x14ac:dyDescent="0.4">
      <c r="A440" s="1400"/>
      <c r="B440" s="736" t="s">
        <v>1056</v>
      </c>
      <c r="C440" s="740" t="s">
        <v>1055</v>
      </c>
      <c r="D440" s="724"/>
      <c r="E440" s="752"/>
      <c r="F440" s="551"/>
      <c r="G440" s="481"/>
      <c r="H440" s="481"/>
      <c r="I440" s="481"/>
      <c r="J440" s="481"/>
      <c r="K440" s="481"/>
      <c r="L440" s="481"/>
      <c r="M440" s="481"/>
      <c r="N440" s="481"/>
      <c r="O440" s="481"/>
      <c r="P440" s="481"/>
      <c r="Q440" s="481"/>
      <c r="R440" s="481"/>
      <c r="S440" s="481"/>
      <c r="T440" s="481"/>
      <c r="U440" s="481"/>
      <c r="V440" s="481"/>
      <c r="W440" s="481"/>
      <c r="X440" s="481"/>
      <c r="Y440" s="481"/>
      <c r="Z440" s="489">
        <f t="shared" si="216"/>
        <v>0</v>
      </c>
      <c r="AA440" s="489">
        <f t="shared" si="217"/>
        <v>0</v>
      </c>
      <c r="AB440" s="481"/>
      <c r="AC440" s="481"/>
      <c r="AD440" s="481"/>
      <c r="AE440" s="481"/>
      <c r="AF440" s="481"/>
      <c r="AG440" s="481"/>
      <c r="AH440" s="481"/>
      <c r="AI440" s="481"/>
      <c r="AJ440" s="479">
        <f t="shared" si="215"/>
        <v>0</v>
      </c>
      <c r="AK440" s="1216"/>
      <c r="AL440" s="1150"/>
      <c r="AM440" s="31" t="e">
        <f>CONCATENATE(IF(D439&gt;0," * F01-12 for Age "&amp;D426&amp;" "&amp;D427&amp;" has a value greater than 0"&amp;CHAR(10),""),IF(E439&gt;0," * F01-12 for Age "&amp;D426&amp;" "&amp;E427&amp;" has a value greater than 0"&amp;CHAR(10),""),IF(D440&gt;0," * F01-13 for Age "&amp;D426&amp;" "&amp;D427&amp;" has a value greater than 0"&amp;CHAR(10),""),IF(E440&gt;0," * F01-13 for Age "&amp;D426&amp;" "&amp;E427&amp;" has a value greater than 0"&amp;CHAR(10),""),IF(#REF!&gt;0," * F01-14 for Age "&amp;D426&amp;" "&amp;D427&amp;" has a value greater than 0"&amp;CHAR(10),""),IF(#REF!&gt;0," * F01-14 for Age "&amp;D426&amp;" "&amp;E427&amp;" has a value greater than 0"&amp;CHAR(10),""),IF(D503&gt;0," * F01-15 for Age "&amp;D426&amp;" "&amp;D427&amp;" has a value greater than 0"&amp;CHAR(10),""),IF(E503&gt;0," * F01-15 for Age "&amp;D426&amp;" "&amp;E427&amp;" has a value greater than 0"&amp;CHAR(10),""),IF(D508&gt;0," * F01-20 for Age "&amp;D426&amp;" "&amp;D427&amp;" has a value greater than 0"&amp;CHAR(10),""),IF(E508&gt;0," * F01-20 for Age "&amp;D426&amp;" "&amp;E427&amp;" has a value greater than 0"&amp;CHAR(10),""),IF(D509&gt;0," * F01-21 for Age "&amp;D426&amp;" "&amp;D427&amp;" has a value greater than 0"&amp;CHAR(10),""),IF(E509&gt;0," * F01-21 for Age "&amp;D426&amp;" "&amp;E427&amp;" has a value greater than 0"&amp;CHAR(10),""),IF(D510&gt;0," * F01-22 for Age "&amp;D426&amp;" "&amp;D427&amp;" has a value greater than 0"&amp;CHAR(10),""),IF(E510&gt;0," * F01-22 for Age "&amp;D426&amp;" "&amp;E427&amp;" has a value greater than 0"&amp;CHAR(10),""),IF(D511&gt;0," * F01-23 for Age "&amp;D426&amp;" "&amp;D427&amp;" has a value greater than 0"&amp;CHAR(10),""),IF(E511&gt;0," * F01-23 for Age "&amp;D426&amp;" "&amp;E427&amp;" has a value greater than 0"&amp;CHAR(10),""),"")</f>
        <v>#REF!</v>
      </c>
      <c r="AN440" s="793"/>
      <c r="AO440" s="13">
        <v>33</v>
      </c>
      <c r="AP440" s="81"/>
      <c r="AQ440" s="82"/>
    </row>
    <row r="441" spans="1:43" s="83" customFormat="1" ht="26.25" x14ac:dyDescent="0.4">
      <c r="A441" s="1400"/>
      <c r="B441" s="736" t="s">
        <v>1058</v>
      </c>
      <c r="C441" s="740" t="s">
        <v>1057</v>
      </c>
      <c r="D441" s="724"/>
      <c r="E441" s="752"/>
      <c r="F441" s="552"/>
      <c r="G441" s="488"/>
      <c r="H441" s="488"/>
      <c r="I441" s="488"/>
      <c r="J441" s="488"/>
      <c r="K441" s="488"/>
      <c r="L441" s="488"/>
      <c r="M441" s="488"/>
      <c r="N441" s="488"/>
      <c r="O441" s="488"/>
      <c r="P441" s="488"/>
      <c r="Q441" s="488"/>
      <c r="R441" s="488"/>
      <c r="S441" s="488"/>
      <c r="T441" s="488"/>
      <c r="U441" s="488"/>
      <c r="V441" s="488"/>
      <c r="W441" s="488"/>
      <c r="X441" s="488"/>
      <c r="Y441" s="488"/>
      <c r="Z441" s="489">
        <f t="shared" si="216"/>
        <v>0</v>
      </c>
      <c r="AA441" s="489">
        <f t="shared" si="217"/>
        <v>0</v>
      </c>
      <c r="AB441" s="488"/>
      <c r="AC441" s="488"/>
      <c r="AD441" s="488"/>
      <c r="AE441" s="488"/>
      <c r="AF441" s="488"/>
      <c r="AG441" s="488"/>
      <c r="AH441" s="488"/>
      <c r="AI441" s="488"/>
      <c r="AJ441" s="479">
        <f t="shared" ref="AJ441" si="218">SUM(D441:AA441)</f>
        <v>0</v>
      </c>
      <c r="AK441" s="470"/>
      <c r="AL441" s="1150"/>
      <c r="AM441" s="31" t="str">
        <f>CONCATENATE(IF(D440&gt;0," * F01-12 for Age "&amp;D427&amp;" "&amp;D428&amp;" has a value greater than 0"&amp;CHAR(10),""),IF(E440&gt;0," * F01-12 for Age "&amp;D427&amp;" "&amp;E428&amp;" has a value greater than 0"&amp;CHAR(10),""),IF(D441&gt;0," * F01-13 for Age "&amp;D427&amp;" "&amp;D428&amp;" has a value greater than 0"&amp;CHAR(10),""),IF(E441&gt;0," * F01-13 for Age "&amp;D427&amp;" "&amp;E428&amp;" has a value greater than 0"&amp;CHAR(10),""),IF(D503&gt;0," * F01-14 for Age "&amp;D427&amp;" "&amp;D428&amp;" has a value greater than 0"&amp;CHAR(10),""),IF(E503&gt;0," * F01-14 for Age "&amp;D427&amp;" "&amp;E428&amp;" has a value greater than 0"&amp;CHAR(10),""),IF(D504&gt;0," * F01-15 for Age "&amp;D427&amp;" "&amp;D428&amp;" has a value greater than 0"&amp;CHAR(10),""),IF(E504&gt;0," * F01-15 for Age "&amp;D427&amp;" "&amp;E428&amp;" has a value greater than 0"&amp;CHAR(10),""),IF(D509&gt;0," * F01-20 for Age "&amp;D427&amp;" "&amp;D428&amp;" has a value greater than 0"&amp;CHAR(10),""),IF(E509&gt;0," * F01-20 for Age "&amp;D427&amp;" "&amp;E428&amp;" has a value greater than 0"&amp;CHAR(10),""),IF(D510&gt;0," * F01-21 for Age "&amp;D427&amp;" "&amp;D428&amp;" has a value greater than 0"&amp;CHAR(10),""),IF(E510&gt;0," * F01-21 for Age "&amp;D427&amp;" "&amp;E428&amp;" has a value greater than 0"&amp;CHAR(10),""),IF(D511&gt;0," * F01-22 for Age "&amp;D427&amp;" "&amp;D428&amp;" has a value greater than 0"&amp;CHAR(10),""),IF(E511&gt;0," * F01-22 for Age "&amp;D427&amp;" "&amp;E428&amp;" has a value greater than 0"&amp;CHAR(10),""),IF(D512&gt;0," * F01-23 for Age "&amp;D427&amp;" "&amp;D428&amp;" has a value greater than 0"&amp;CHAR(10),""),IF(E512&gt;0," * F01-23 for Age "&amp;D427&amp;" "&amp;E428&amp;" has a value greater than 0"&amp;CHAR(10),""),"")</f>
        <v/>
      </c>
      <c r="AN441" s="793"/>
      <c r="AO441" s="13">
        <v>33</v>
      </c>
      <c r="AP441" s="81"/>
      <c r="AQ441" s="82"/>
    </row>
    <row r="442" spans="1:43" s="83" customFormat="1" ht="27" thickBot="1" x14ac:dyDescent="0.45">
      <c r="A442" s="1401"/>
      <c r="B442" s="737" t="s">
        <v>1060</v>
      </c>
      <c r="C442" s="741" t="s">
        <v>1059</v>
      </c>
      <c r="D442" s="725"/>
      <c r="E442" s="753"/>
      <c r="F442" s="553"/>
      <c r="G442" s="549"/>
      <c r="H442" s="549"/>
      <c r="I442" s="549"/>
      <c r="J442" s="549"/>
      <c r="K442" s="549"/>
      <c r="L442" s="549"/>
      <c r="M442" s="549"/>
      <c r="N442" s="549"/>
      <c r="O442" s="549"/>
      <c r="P442" s="549"/>
      <c r="Q442" s="549"/>
      <c r="R442" s="549"/>
      <c r="S442" s="549"/>
      <c r="T442" s="549"/>
      <c r="U442" s="549"/>
      <c r="V442" s="549"/>
      <c r="W442" s="549"/>
      <c r="X442" s="549"/>
      <c r="Y442" s="549"/>
      <c r="Z442" s="489">
        <f t="shared" si="216"/>
        <v>0</v>
      </c>
      <c r="AA442" s="489">
        <f t="shared" si="217"/>
        <v>0</v>
      </c>
      <c r="AB442" s="549"/>
      <c r="AC442" s="549"/>
      <c r="AD442" s="549"/>
      <c r="AE442" s="549"/>
      <c r="AF442" s="549"/>
      <c r="AG442" s="549"/>
      <c r="AH442" s="549"/>
      <c r="AI442" s="549"/>
      <c r="AJ442" s="480">
        <f t="shared" ref="AJ442:AJ446" si="219">SUM(D442:AA442)</f>
        <v>0</v>
      </c>
      <c r="AK442" s="470"/>
      <c r="AL442" s="1150"/>
      <c r="AM442" s="31" t="str">
        <f>CONCATENATE(IF(D441&gt;0," * F01-12 for Age "&amp;D428&amp;" "&amp;D429&amp;" has a value greater than 0"&amp;CHAR(10),""),IF(E441&gt;0," * F01-12 for Age "&amp;D428&amp;" "&amp;E429&amp;" has a value greater than 0"&amp;CHAR(10),""),IF(D442&gt;0," * F01-13 for Age "&amp;D428&amp;" "&amp;D429&amp;" has a value greater than 0"&amp;CHAR(10),""),IF(E442&gt;0," * F01-13 for Age "&amp;D428&amp;" "&amp;E429&amp;" has a value greater than 0"&amp;CHAR(10),""),IF(D504&gt;0," * F01-14 for Age "&amp;D428&amp;" "&amp;D429&amp;" has a value greater than 0"&amp;CHAR(10),""),IF(E504&gt;0," * F01-14 for Age "&amp;D428&amp;" "&amp;E429&amp;" has a value greater than 0"&amp;CHAR(10),""),IF(D505&gt;0," * F01-15 for Age "&amp;D428&amp;" "&amp;D429&amp;" has a value greater than 0"&amp;CHAR(10),""),IF(E505&gt;0," * F01-15 for Age "&amp;D428&amp;" "&amp;E429&amp;" has a value greater than 0"&amp;CHAR(10),""),IF(D510&gt;0," * F01-20 for Age "&amp;D428&amp;" "&amp;D429&amp;" has a value greater than 0"&amp;CHAR(10),""),IF(E510&gt;0," * F01-20 for Age "&amp;D428&amp;" "&amp;E429&amp;" has a value greater than 0"&amp;CHAR(10),""),IF(D511&gt;0," * F01-21 for Age "&amp;D428&amp;" "&amp;D429&amp;" has a value greater than 0"&amp;CHAR(10),""),IF(E511&gt;0," * F01-21 for Age "&amp;D428&amp;" "&amp;E429&amp;" has a value greater than 0"&amp;CHAR(10),""),IF(D512&gt;0," * F01-22 for Age "&amp;D428&amp;" "&amp;D429&amp;" has a value greater than 0"&amp;CHAR(10),""),IF(E512&gt;0," * F01-22 for Age "&amp;D428&amp;" "&amp;E429&amp;" has a value greater than 0"&amp;CHAR(10),""),IF(D513&gt;0," * F01-23 for Age "&amp;D428&amp;" "&amp;D429&amp;" has a value greater than 0"&amp;CHAR(10),""),IF(E513&gt;0," * F01-23 for Age "&amp;D428&amp;" "&amp;E429&amp;" has a value greater than 0"&amp;CHAR(10),""),"")</f>
        <v/>
      </c>
      <c r="AN442" s="793"/>
      <c r="AO442" s="13">
        <v>33</v>
      </c>
      <c r="AP442" s="81"/>
      <c r="AQ442" s="82"/>
    </row>
    <row r="443" spans="1:43" s="83" customFormat="1" ht="27" thickBot="1" x14ac:dyDescent="0.45">
      <c r="A443" s="1399" t="s">
        <v>13</v>
      </c>
      <c r="B443" s="735" t="s">
        <v>138</v>
      </c>
      <c r="C443" s="739" t="s">
        <v>1061</v>
      </c>
      <c r="D443" s="722"/>
      <c r="E443" s="750"/>
      <c r="F443" s="761">
        <f t="shared" ref="F443:AI443" si="220">F34</f>
        <v>0</v>
      </c>
      <c r="G443" s="487">
        <f t="shared" si="220"/>
        <v>0</v>
      </c>
      <c r="H443" s="487">
        <f t="shared" si="220"/>
        <v>0</v>
      </c>
      <c r="I443" s="487">
        <f t="shared" si="220"/>
        <v>0</v>
      </c>
      <c r="J443" s="487">
        <f t="shared" si="220"/>
        <v>0</v>
      </c>
      <c r="K443" s="487">
        <f t="shared" si="220"/>
        <v>0</v>
      </c>
      <c r="L443" s="487">
        <f t="shared" si="220"/>
        <v>0</v>
      </c>
      <c r="M443" s="487">
        <f t="shared" si="220"/>
        <v>0</v>
      </c>
      <c r="N443" s="487">
        <f t="shared" si="220"/>
        <v>0</v>
      </c>
      <c r="O443" s="487">
        <f t="shared" si="220"/>
        <v>0</v>
      </c>
      <c r="P443" s="487">
        <f t="shared" si="220"/>
        <v>0</v>
      </c>
      <c r="Q443" s="487">
        <f t="shared" si="220"/>
        <v>0</v>
      </c>
      <c r="R443" s="487">
        <f t="shared" si="220"/>
        <v>0</v>
      </c>
      <c r="S443" s="487">
        <f t="shared" si="220"/>
        <v>0</v>
      </c>
      <c r="T443" s="487">
        <f t="shared" si="220"/>
        <v>0</v>
      </c>
      <c r="U443" s="487">
        <f t="shared" si="220"/>
        <v>0</v>
      </c>
      <c r="V443" s="487">
        <f t="shared" si="220"/>
        <v>0</v>
      </c>
      <c r="W443" s="487">
        <f t="shared" si="220"/>
        <v>0</v>
      </c>
      <c r="X443" s="487">
        <f t="shared" si="220"/>
        <v>0</v>
      </c>
      <c r="Y443" s="487">
        <f t="shared" si="220"/>
        <v>0</v>
      </c>
      <c r="Z443" s="487">
        <f t="shared" si="220"/>
        <v>0</v>
      </c>
      <c r="AA443" s="487">
        <f t="shared" si="220"/>
        <v>0</v>
      </c>
      <c r="AB443" s="487">
        <f t="shared" si="220"/>
        <v>0</v>
      </c>
      <c r="AC443" s="487">
        <f t="shared" si="220"/>
        <v>0</v>
      </c>
      <c r="AD443" s="487">
        <f t="shared" si="220"/>
        <v>0</v>
      </c>
      <c r="AE443" s="487">
        <f t="shared" si="220"/>
        <v>0</v>
      </c>
      <c r="AF443" s="487">
        <f t="shared" si="220"/>
        <v>0</v>
      </c>
      <c r="AG443" s="487">
        <f t="shared" si="220"/>
        <v>0</v>
      </c>
      <c r="AH443" s="487">
        <f t="shared" si="220"/>
        <v>0</v>
      </c>
      <c r="AI443" s="487">
        <f t="shared" si="220"/>
        <v>0</v>
      </c>
      <c r="AJ443" s="477">
        <f t="shared" si="219"/>
        <v>0</v>
      </c>
      <c r="AK443" s="545" t="str">
        <f>CONCATENATE(IF((D444+D445+D446+D447)&lt;&gt;D443," * "&amp;$A443&amp;" , "&amp;$B444&amp;" plus "&amp;$B445&amp;" plus "&amp;$B446&amp;" plus "&amp;$B447&amp;" For age "&amp;$D$20&amp;" "&amp;$D$21&amp;" should be equal to "&amp;$B443&amp;""&amp;CHAR(10),""),IF((E444+E445+E446+E447)&lt;&gt;E443," * "&amp;$A443&amp;" , "&amp;$B444&amp;" plus "&amp;$B445&amp;" plus "&amp;$B446&amp;" plus "&amp;$B447&amp;" For age "&amp;$D$20&amp;" "&amp;$E$21&amp;" should be equal to "&amp;$B443&amp;""&amp;CHAR(10),""),IF((F444+F445+F446+F447)&lt;&gt;F443," * "&amp;$A443&amp;" , "&amp;$B444&amp;" plus "&amp;$B445&amp;" plus "&amp;$B446&amp;" plus "&amp;$B447&amp;" For age "&amp;$F$20&amp;" "&amp;$F$21&amp;" should be equal to "&amp;$B443&amp;""&amp;CHAR(10),""),IF((G444+G445+G446+G447)&lt;&gt;G443," * "&amp;$A443&amp;" , "&amp;$B444&amp;" plus "&amp;$B445&amp;" plus "&amp;$B446&amp;" plus "&amp;$B447&amp;" For age "&amp;$F$20&amp;" "&amp;$G$21&amp;" should be equal to "&amp;$B443&amp;""&amp;CHAR(10),""),IF((H444+H445+H446+H447)&lt;&gt;H443," * "&amp;$A443&amp;" , "&amp;$B444&amp;" plus "&amp;$B445&amp;" plus "&amp;$B446&amp;" plus "&amp;$B447&amp;" For age "&amp;$H$20&amp;" "&amp;$H$21&amp;" should be equal to "&amp;$B443&amp;""&amp;CHAR(10),""),IF((I444+I445+I446+I447)&lt;&gt;I443," * "&amp;$A443&amp;" , "&amp;$B444&amp;" plus "&amp;$B445&amp;" plus "&amp;$B446&amp;" plus "&amp;$B447&amp;" For age "&amp;$H$20&amp;" "&amp;$I$21&amp;" should be equal to "&amp;$B443&amp;""&amp;CHAR(10),""),IF((J444+J445+J446+J447)&lt;&gt;J443," * "&amp;$A443&amp;" , "&amp;$B444&amp;" plus "&amp;$B445&amp;" plus "&amp;$B446&amp;" plus "&amp;$B447&amp;" For age "&amp;$J$20&amp;" "&amp;$J$21&amp;" should be equal to "&amp;$B443&amp;""&amp;CHAR(10),""),IF((K444+K445+K446+K447)&lt;&gt;K443," * "&amp;$A443&amp;" , "&amp;$B444&amp;" plus "&amp;$B445&amp;" plus "&amp;$B446&amp;" plus "&amp;$B447&amp;" For age "&amp;$J$20&amp;" "&amp;$K$21&amp;" should be equal to "&amp;$B443&amp;""&amp;CHAR(10),""),IF((L444+L445+L446+L447)&lt;&gt;L443," * "&amp;$A443&amp;" , "&amp;$B444&amp;" plus "&amp;$B445&amp;" plus "&amp;$B446&amp;" plus "&amp;$B447&amp;" For age "&amp;$L$20&amp;" "&amp;$L$21&amp;" should be equal to "&amp;$B443&amp;""&amp;CHAR(10),""),IF((M444+M445+M446+M447)&lt;&gt;M443," * "&amp;$A443&amp;" , "&amp;$B444&amp;" plus "&amp;$B445&amp;" plus "&amp;$B446&amp;" plus "&amp;$B447&amp;" For age "&amp;$L$20&amp;" "&amp;$M$21&amp;" should be equal to "&amp;$B443&amp;""&amp;CHAR(10),""),IF((N444+N445+N446+N447)&lt;&gt;N443," * "&amp;$A443&amp;" , "&amp;$B444&amp;" plus "&amp;$B445&amp;" plus "&amp;$B446&amp;" plus "&amp;$B447&amp;" For age "&amp;$N$20&amp;" "&amp;$N$21&amp;" should be equal to "&amp;$B443&amp;""&amp;CHAR(10),""),IF((O444+O445+O446+O447)&lt;&gt;O443," * "&amp;$A443&amp;" , "&amp;$B444&amp;" plus "&amp;$B445&amp;" plus "&amp;$B446&amp;" plus "&amp;$B447&amp;" For age "&amp;$N$20&amp;" "&amp;$O$21&amp;" should be equal to "&amp;$B443&amp;""&amp;CHAR(10),""),IF((P444+P445+P446+P447)&lt;&gt;P443," * "&amp;$A443&amp;" , "&amp;$B444&amp;" plus "&amp;$B445&amp;" plus "&amp;$B446&amp;" plus "&amp;$B447&amp;" For age "&amp;$P$20&amp;" "&amp;$P$21&amp;" should be equal to "&amp;$B443&amp;""&amp;CHAR(10),""),IF((Q444+Q445+Q446+Q447)&lt;&gt;Q443," * "&amp;$A443&amp;" , "&amp;$B444&amp;" plus "&amp;$B445&amp;" plus "&amp;$B446&amp;" plus "&amp;$B447&amp;" For age "&amp;$P$20&amp;" "&amp;$Q$21&amp;" should be equal to "&amp;$B443&amp;""&amp;CHAR(10),""),IF((R444+R445+R446+R447)&lt;&gt;R443," * "&amp;$A443&amp;" , "&amp;$B444&amp;" plus "&amp;$B445&amp;" plus "&amp;$B446&amp;" plus "&amp;$B447&amp;" For age "&amp;$R$20&amp;" "&amp;$R$21&amp;" should be equal to "&amp;$B443&amp;""&amp;CHAR(10),""),IF((S444+S445+S446+S447)&lt;&gt;S443," * "&amp;$A443&amp;" , "&amp;$B444&amp;" plus "&amp;$B445&amp;" plus "&amp;$B446&amp;" plus "&amp;$B447&amp;" For age "&amp;$R$20&amp;" "&amp;$S$21&amp;" should be equal to "&amp;$B443&amp;""&amp;CHAR(10),""),IF((T444+T445+T446+T447)&lt;&gt;T443," * "&amp;$A443&amp;" , "&amp;$B444&amp;" plus "&amp;$B445&amp;" plus "&amp;$B446&amp;" plus "&amp;$B447&amp;" For age "&amp;$T$20&amp;" "&amp;$T$21&amp;" should be equal to "&amp;$B443&amp;""&amp;CHAR(10),""),IF((U444+U445+U446+U447)&lt;&gt;U443," * "&amp;$A443&amp;" , "&amp;$B444&amp;" plus "&amp;$B445&amp;" plus "&amp;$B446&amp;" plus "&amp;$B447&amp;" For age "&amp;$T$20&amp;" "&amp;$U$21&amp;" should be equal to "&amp;$B443&amp;""&amp;CHAR(10),""),IF((V444+V445+V446+V447)&lt;&gt;V443," * "&amp;$A443&amp;" , "&amp;$B444&amp;" plus "&amp;$B445&amp;" plus "&amp;$B446&amp;" plus "&amp;$B447&amp;" For age "&amp;$V$20&amp;" "&amp;$V$21&amp;" should be equal to "&amp;$B443&amp;""&amp;CHAR(10),""),IF((W444+W445+W446+W447)&lt;&gt;W443," * "&amp;$A443&amp;" , "&amp;$B444&amp;" plus "&amp;$B445&amp;" plus "&amp;$B446&amp;" plus "&amp;$B447&amp;" For age "&amp;$V$20&amp;" "&amp;$W$21&amp;" should be equal to "&amp;$B443&amp;""&amp;CHAR(10),""),IF((X444+X445+X446+X447)&lt;&gt;X443," * "&amp;$A443&amp;" , "&amp;$B444&amp;" plus "&amp;$B445&amp;" plus "&amp;$B446&amp;" plus "&amp;$B447&amp;" For age "&amp;$X$20&amp;" "&amp;$X$21&amp;" should be equal to "&amp;$B443&amp;""&amp;CHAR(10),""),IF((Y444+Y445+Y446+Y447)&lt;&gt;Y443," * "&amp;$A443&amp;" , "&amp;$B444&amp;" plus "&amp;$B445&amp;" plus "&amp;$B446&amp;" plus "&amp;$B447&amp;" For age "&amp;$X$20&amp;" "&amp;$Y$21&amp;" should be equal to "&amp;$B443&amp;""&amp;CHAR(10),""),IF((Z444+Z445+Z446+Z447)&lt;&gt;Z443," * "&amp;$A443&amp;" , "&amp;$B444&amp;" plus "&amp;$B445&amp;" plus "&amp;$B446&amp;" plus "&amp;$B447&amp;" For age "&amp;$Z$20&amp;" "&amp;$Z$21&amp;" should be equal to "&amp;$B443&amp;""&amp;CHAR(10),""),IF((AA444+AA445+AA446+AA447)&lt;&gt;AA443," * "&amp;$A443&amp;" , "&amp;$B444&amp;" plus "&amp;$B445&amp;" plus "&amp;$B446&amp;" plus "&amp;$B447&amp;" For age "&amp;$Z$20&amp;" "&amp;$AA$21&amp;" should be equal to "&amp;$B443&amp;""&amp;CHAR(10),""))</f>
        <v/>
      </c>
      <c r="AL443" s="1150"/>
      <c r="AM443" s="31"/>
      <c r="AN443" s="793"/>
      <c r="AO443" s="13">
        <v>31</v>
      </c>
      <c r="AP443" s="81"/>
      <c r="AQ443" s="82"/>
    </row>
    <row r="444" spans="1:43" s="83" customFormat="1" ht="26.25" x14ac:dyDescent="0.4">
      <c r="A444" s="1400"/>
      <c r="B444" s="736" t="s">
        <v>1075</v>
      </c>
      <c r="C444" s="740" t="s">
        <v>1062</v>
      </c>
      <c r="D444" s="625"/>
      <c r="E444" s="751"/>
      <c r="F444" s="550"/>
      <c r="G444" s="547"/>
      <c r="H444" s="547"/>
      <c r="I444" s="547"/>
      <c r="J444" s="547"/>
      <c r="K444" s="547"/>
      <c r="L444" s="547"/>
      <c r="M444" s="547"/>
      <c r="N444" s="547"/>
      <c r="O444" s="547"/>
      <c r="P444" s="547"/>
      <c r="Q444" s="547"/>
      <c r="R444" s="547"/>
      <c r="S444" s="547"/>
      <c r="T444" s="547"/>
      <c r="U444" s="547"/>
      <c r="V444" s="547"/>
      <c r="W444" s="547"/>
      <c r="X444" s="547"/>
      <c r="Y444" s="547"/>
      <c r="Z444" s="489">
        <f t="shared" ref="Z444:Z447" si="221">SUM(AB444,AD444,AF444,AH444)</f>
        <v>0</v>
      </c>
      <c r="AA444" s="489">
        <f t="shared" ref="AA444:AA447" si="222">SUM(AC444,AE444,AG444,AI444)</f>
        <v>0</v>
      </c>
      <c r="AB444" s="547"/>
      <c r="AC444" s="547"/>
      <c r="AD444" s="547"/>
      <c r="AE444" s="547"/>
      <c r="AF444" s="547"/>
      <c r="AG444" s="547"/>
      <c r="AH444" s="547"/>
      <c r="AI444" s="547"/>
      <c r="AJ444" s="478">
        <f t="shared" si="219"/>
        <v>0</v>
      </c>
      <c r="AK444" s="1216"/>
      <c r="AL444" s="1150"/>
      <c r="AM444" s="31" t="str">
        <f>CONCATENATE(IF(AND(IFERROR((AJ445*100)/AJ444,0)&gt;10,AJ445&gt;5)," * This facility has a high positivity rate for Index Testing. Kindly confirm if this is the true reflection"&amp;CHAR(10),""),"")</f>
        <v/>
      </c>
      <c r="AN444" s="793"/>
      <c r="AO444" s="13">
        <v>32</v>
      </c>
      <c r="AP444" s="81"/>
      <c r="AQ444" s="82"/>
    </row>
    <row r="445" spans="1:43" s="83" customFormat="1" ht="26.25" x14ac:dyDescent="0.4">
      <c r="A445" s="1400"/>
      <c r="B445" s="736" t="s">
        <v>1056</v>
      </c>
      <c r="C445" s="740" t="s">
        <v>1063</v>
      </c>
      <c r="D445" s="724"/>
      <c r="E445" s="752"/>
      <c r="F445" s="551"/>
      <c r="G445" s="481"/>
      <c r="H445" s="481"/>
      <c r="I445" s="481"/>
      <c r="J445" s="481"/>
      <c r="K445" s="481"/>
      <c r="L445" s="481"/>
      <c r="M445" s="481"/>
      <c r="N445" s="481"/>
      <c r="O445" s="481"/>
      <c r="P445" s="481"/>
      <c r="Q445" s="481"/>
      <c r="R445" s="481"/>
      <c r="S445" s="481"/>
      <c r="T445" s="481"/>
      <c r="U445" s="481"/>
      <c r="V445" s="481"/>
      <c r="W445" s="481"/>
      <c r="X445" s="481"/>
      <c r="Y445" s="481"/>
      <c r="Z445" s="489">
        <f t="shared" si="221"/>
        <v>0</v>
      </c>
      <c r="AA445" s="489">
        <f t="shared" si="222"/>
        <v>0</v>
      </c>
      <c r="AB445" s="481"/>
      <c r="AC445" s="481"/>
      <c r="AD445" s="481"/>
      <c r="AE445" s="481"/>
      <c r="AF445" s="481"/>
      <c r="AG445" s="481"/>
      <c r="AH445" s="481"/>
      <c r="AI445" s="481"/>
      <c r="AJ445" s="479">
        <f t="shared" si="219"/>
        <v>0</v>
      </c>
      <c r="AK445" s="1216"/>
      <c r="AL445" s="1150"/>
      <c r="AM445" s="31" t="e">
        <f>CONCATENATE(IF(D444&gt;0," * F01-12 for Age "&amp;D431&amp;" "&amp;D432&amp;" has a value greater than 0"&amp;CHAR(10),""),IF(E444&gt;0," * F01-12 for Age "&amp;D431&amp;" "&amp;E432&amp;" has a value greater than 0"&amp;CHAR(10),""),IF(D445&gt;0," * F01-13 for Age "&amp;D431&amp;" "&amp;D432&amp;" has a value greater than 0"&amp;CHAR(10),""),IF(E445&gt;0," * F01-13 for Age "&amp;D431&amp;" "&amp;E432&amp;" has a value greater than 0"&amp;CHAR(10),""),IF(#REF!&gt;0," * F01-14 for Age "&amp;D431&amp;" "&amp;D432&amp;" has a value greater than 0"&amp;CHAR(10),""),IF(#REF!&gt;0," * F01-14 for Age "&amp;D431&amp;" "&amp;E432&amp;" has a value greater than 0"&amp;CHAR(10),""),IF(D508&gt;0," * F01-15 for Age "&amp;D431&amp;" "&amp;D432&amp;" has a value greater than 0"&amp;CHAR(10),""),IF(E508&gt;0," * F01-15 for Age "&amp;D431&amp;" "&amp;E432&amp;" has a value greater than 0"&amp;CHAR(10),""),IF(D513&gt;0," * F01-20 for Age "&amp;D431&amp;" "&amp;D432&amp;" has a value greater than 0"&amp;CHAR(10),""),IF(E513&gt;0," * F01-20 for Age "&amp;D431&amp;" "&amp;E432&amp;" has a value greater than 0"&amp;CHAR(10),""),IF(D514&gt;0," * F01-21 for Age "&amp;D431&amp;" "&amp;D432&amp;" has a value greater than 0"&amp;CHAR(10),""),IF(E514&gt;0," * F01-21 for Age "&amp;D431&amp;" "&amp;E432&amp;" has a value greater than 0"&amp;CHAR(10),""),IF(D515&gt;0," * F01-22 for Age "&amp;D431&amp;" "&amp;D432&amp;" has a value greater than 0"&amp;CHAR(10),""),IF(E515&gt;0," * F01-22 for Age "&amp;D431&amp;" "&amp;E432&amp;" has a value greater than 0"&amp;CHAR(10),""),IF(D516&gt;0," * F01-23 for Age "&amp;D431&amp;" "&amp;D432&amp;" has a value greater than 0"&amp;CHAR(10),""),IF(E516&gt;0," * F01-23 for Age "&amp;D431&amp;" "&amp;E432&amp;" has a value greater than 0"&amp;CHAR(10),""),"")</f>
        <v>#REF!</v>
      </c>
      <c r="AN445" s="793"/>
      <c r="AO445" s="13">
        <v>33</v>
      </c>
      <c r="AP445" s="81"/>
      <c r="AQ445" s="82"/>
    </row>
    <row r="446" spans="1:43" s="83" customFormat="1" ht="26.25" x14ac:dyDescent="0.4">
      <c r="A446" s="1400"/>
      <c r="B446" s="736" t="s">
        <v>1058</v>
      </c>
      <c r="C446" s="740" t="s">
        <v>1064</v>
      </c>
      <c r="D446" s="724"/>
      <c r="E446" s="752"/>
      <c r="F446" s="552"/>
      <c r="G446" s="488"/>
      <c r="H446" s="488"/>
      <c r="I446" s="488"/>
      <c r="J446" s="488"/>
      <c r="K446" s="488"/>
      <c r="L446" s="488"/>
      <c r="M446" s="488"/>
      <c r="N446" s="488"/>
      <c r="O446" s="488"/>
      <c r="P446" s="488"/>
      <c r="Q446" s="488"/>
      <c r="R446" s="488"/>
      <c r="S446" s="488"/>
      <c r="T446" s="488"/>
      <c r="U446" s="488"/>
      <c r="V446" s="488"/>
      <c r="W446" s="488"/>
      <c r="X446" s="488"/>
      <c r="Y446" s="488"/>
      <c r="Z446" s="489">
        <f t="shared" si="221"/>
        <v>0</v>
      </c>
      <c r="AA446" s="489">
        <f t="shared" si="222"/>
        <v>0</v>
      </c>
      <c r="AB446" s="488"/>
      <c r="AC446" s="488"/>
      <c r="AD446" s="488"/>
      <c r="AE446" s="488"/>
      <c r="AF446" s="488"/>
      <c r="AG446" s="488"/>
      <c r="AH446" s="488"/>
      <c r="AI446" s="488"/>
      <c r="AJ446" s="479">
        <f t="shared" si="219"/>
        <v>0</v>
      </c>
      <c r="AK446" s="470"/>
      <c r="AL446" s="1150"/>
      <c r="AM446" s="31" t="str">
        <f>CONCATENATE(IF(D445&gt;0," * F01-12 for Age "&amp;D432&amp;" "&amp;D433&amp;" has a value greater than 0"&amp;CHAR(10),""),IF(E445&gt;0," * F01-12 for Age "&amp;D432&amp;" "&amp;E433&amp;" has a value greater than 0"&amp;CHAR(10),""),IF(D446&gt;0," * F01-13 for Age "&amp;D432&amp;" "&amp;D433&amp;" has a value greater than 0"&amp;CHAR(10),""),IF(E446&gt;0," * F01-13 for Age "&amp;D432&amp;" "&amp;E433&amp;" has a value greater than 0"&amp;CHAR(10),""),IF(D508&gt;0," * F01-14 for Age "&amp;D432&amp;" "&amp;D433&amp;" has a value greater than 0"&amp;CHAR(10),""),IF(E508&gt;0," * F01-14 for Age "&amp;D432&amp;" "&amp;E433&amp;" has a value greater than 0"&amp;CHAR(10),""),IF(D509&gt;0," * F01-15 for Age "&amp;D432&amp;" "&amp;D433&amp;" has a value greater than 0"&amp;CHAR(10),""),IF(E509&gt;0," * F01-15 for Age "&amp;D432&amp;" "&amp;E433&amp;" has a value greater than 0"&amp;CHAR(10),""),IF(D514&gt;0," * F01-20 for Age "&amp;D432&amp;" "&amp;D433&amp;" has a value greater than 0"&amp;CHAR(10),""),IF(E514&gt;0," * F01-20 for Age "&amp;D432&amp;" "&amp;E433&amp;" has a value greater than 0"&amp;CHAR(10),""),IF(D515&gt;0," * F01-21 for Age "&amp;D432&amp;" "&amp;D433&amp;" has a value greater than 0"&amp;CHAR(10),""),IF(E515&gt;0," * F01-21 for Age "&amp;D432&amp;" "&amp;E433&amp;" has a value greater than 0"&amp;CHAR(10),""),IF(D516&gt;0," * F01-22 for Age "&amp;D432&amp;" "&amp;D433&amp;" has a value greater than 0"&amp;CHAR(10),""),IF(E516&gt;0," * F01-22 for Age "&amp;D432&amp;" "&amp;E433&amp;" has a value greater than 0"&amp;CHAR(10),""),IF(D517&gt;0," * F01-23 for Age "&amp;D432&amp;" "&amp;D433&amp;" has a value greater than 0"&amp;CHAR(10),""),IF(E517&gt;0," * F01-23 for Age "&amp;D432&amp;" "&amp;E433&amp;" has a value greater than 0"&amp;CHAR(10),""),"")</f>
        <v/>
      </c>
      <c r="AN446" s="793"/>
      <c r="AO446" s="13">
        <v>33</v>
      </c>
      <c r="AP446" s="81"/>
      <c r="AQ446" s="82"/>
    </row>
    <row r="447" spans="1:43" s="83" customFormat="1" ht="27" thickBot="1" x14ac:dyDescent="0.45">
      <c r="A447" s="1401"/>
      <c r="B447" s="737" t="s">
        <v>1060</v>
      </c>
      <c r="C447" s="741" t="s">
        <v>1065</v>
      </c>
      <c r="D447" s="725"/>
      <c r="E447" s="753"/>
      <c r="F447" s="553"/>
      <c r="G447" s="549"/>
      <c r="H447" s="549"/>
      <c r="I447" s="549"/>
      <c r="J447" s="549"/>
      <c r="K447" s="549"/>
      <c r="L447" s="549"/>
      <c r="M447" s="549"/>
      <c r="N447" s="549"/>
      <c r="O447" s="549"/>
      <c r="P447" s="549"/>
      <c r="Q447" s="549"/>
      <c r="R447" s="549"/>
      <c r="S447" s="549"/>
      <c r="T447" s="549"/>
      <c r="U447" s="549"/>
      <c r="V447" s="549"/>
      <c r="W447" s="549"/>
      <c r="X447" s="549"/>
      <c r="Y447" s="549"/>
      <c r="Z447" s="489">
        <f t="shared" si="221"/>
        <v>0</v>
      </c>
      <c r="AA447" s="489">
        <f t="shared" si="222"/>
        <v>0</v>
      </c>
      <c r="AB447" s="549"/>
      <c r="AC447" s="549"/>
      <c r="AD447" s="549"/>
      <c r="AE447" s="549"/>
      <c r="AF447" s="549"/>
      <c r="AG447" s="549"/>
      <c r="AH447" s="549"/>
      <c r="AI447" s="549"/>
      <c r="AJ447" s="480">
        <f t="shared" ref="AJ447:AJ456" si="223">SUM(D447:AA447)</f>
        <v>0</v>
      </c>
      <c r="AK447" s="470"/>
      <c r="AL447" s="1150"/>
      <c r="AM447" s="31" t="str">
        <f>CONCATENATE(IF(D446&gt;0," * F01-12 for Age "&amp;D433&amp;" "&amp;D434&amp;" has a value greater than 0"&amp;CHAR(10),""),IF(E446&gt;0," * F01-12 for Age "&amp;D433&amp;" "&amp;E434&amp;" has a value greater than 0"&amp;CHAR(10),""),IF(D447&gt;0," * F01-13 for Age "&amp;D433&amp;" "&amp;D434&amp;" has a value greater than 0"&amp;CHAR(10),""),IF(E447&gt;0," * F01-13 for Age "&amp;D433&amp;" "&amp;E434&amp;" has a value greater than 0"&amp;CHAR(10),""),IF(D509&gt;0," * F01-14 for Age "&amp;D433&amp;" "&amp;D434&amp;" has a value greater than 0"&amp;CHAR(10),""),IF(E509&gt;0," * F01-14 for Age "&amp;D433&amp;" "&amp;E434&amp;" has a value greater than 0"&amp;CHAR(10),""),IF(D510&gt;0," * F01-15 for Age "&amp;D433&amp;" "&amp;D434&amp;" has a value greater than 0"&amp;CHAR(10),""),IF(E510&gt;0," * F01-15 for Age "&amp;D433&amp;" "&amp;E434&amp;" has a value greater than 0"&amp;CHAR(10),""),IF(D515&gt;0," * F01-20 for Age "&amp;D433&amp;" "&amp;D434&amp;" has a value greater than 0"&amp;CHAR(10),""),IF(E515&gt;0," * F01-20 for Age "&amp;D433&amp;" "&amp;E434&amp;" has a value greater than 0"&amp;CHAR(10),""),IF(D516&gt;0," * F01-21 for Age "&amp;D433&amp;" "&amp;D434&amp;" has a value greater than 0"&amp;CHAR(10),""),IF(E516&gt;0," * F01-21 for Age "&amp;D433&amp;" "&amp;E434&amp;" has a value greater than 0"&amp;CHAR(10),""),IF(D517&gt;0," * F01-22 for Age "&amp;D433&amp;" "&amp;D434&amp;" has a value greater than 0"&amp;CHAR(10),""),IF(E517&gt;0," * F01-22 for Age "&amp;D433&amp;" "&amp;E434&amp;" has a value greater than 0"&amp;CHAR(10),""),IF(D518&gt;0," * F01-23 for Age "&amp;D433&amp;" "&amp;D434&amp;" has a value greater than 0"&amp;CHAR(10),""),IF(E518&gt;0," * F01-23 for Age "&amp;D433&amp;" "&amp;E434&amp;" has a value greater than 0"&amp;CHAR(10),""),"")</f>
        <v/>
      </c>
      <c r="AN447" s="793"/>
      <c r="AO447" s="13">
        <v>33</v>
      </c>
      <c r="AP447" s="81"/>
      <c r="AQ447" s="82"/>
    </row>
    <row r="448" spans="1:43" s="83" customFormat="1" ht="27" thickBot="1" x14ac:dyDescent="0.45">
      <c r="A448" s="1399" t="s">
        <v>14</v>
      </c>
      <c r="B448" s="735" t="s">
        <v>138</v>
      </c>
      <c r="C448" s="739" t="s">
        <v>1066</v>
      </c>
      <c r="D448" s="722"/>
      <c r="E448" s="750"/>
      <c r="F448" s="761">
        <f t="shared" ref="F448:AI448" si="224">F36</f>
        <v>0</v>
      </c>
      <c r="G448" s="487">
        <f t="shared" si="224"/>
        <v>0</v>
      </c>
      <c r="H448" s="487">
        <f t="shared" si="224"/>
        <v>0</v>
      </c>
      <c r="I448" s="487">
        <f t="shared" si="224"/>
        <v>0</v>
      </c>
      <c r="J448" s="487">
        <f t="shared" si="224"/>
        <v>0</v>
      </c>
      <c r="K448" s="487">
        <f t="shared" si="224"/>
        <v>0</v>
      </c>
      <c r="L448" s="487">
        <f t="shared" si="224"/>
        <v>0</v>
      </c>
      <c r="M448" s="487">
        <f t="shared" si="224"/>
        <v>0</v>
      </c>
      <c r="N448" s="487">
        <f t="shared" si="224"/>
        <v>0</v>
      </c>
      <c r="O448" s="487">
        <f t="shared" si="224"/>
        <v>0</v>
      </c>
      <c r="P448" s="487">
        <f t="shared" si="224"/>
        <v>0</v>
      </c>
      <c r="Q448" s="487">
        <f t="shared" si="224"/>
        <v>0</v>
      </c>
      <c r="R448" s="487">
        <f t="shared" si="224"/>
        <v>0</v>
      </c>
      <c r="S448" s="487">
        <f t="shared" si="224"/>
        <v>0</v>
      </c>
      <c r="T448" s="487">
        <f t="shared" si="224"/>
        <v>0</v>
      </c>
      <c r="U448" s="487">
        <f t="shared" si="224"/>
        <v>0</v>
      </c>
      <c r="V448" s="487">
        <f t="shared" si="224"/>
        <v>0</v>
      </c>
      <c r="W448" s="487">
        <f t="shared" si="224"/>
        <v>0</v>
      </c>
      <c r="X448" s="487">
        <f t="shared" si="224"/>
        <v>0</v>
      </c>
      <c r="Y448" s="487">
        <f t="shared" si="224"/>
        <v>0</v>
      </c>
      <c r="Z448" s="487">
        <f t="shared" si="224"/>
        <v>0</v>
      </c>
      <c r="AA448" s="487">
        <f t="shared" si="224"/>
        <v>0</v>
      </c>
      <c r="AB448" s="487">
        <f t="shared" si="224"/>
        <v>0</v>
      </c>
      <c r="AC448" s="487">
        <f t="shared" si="224"/>
        <v>0</v>
      </c>
      <c r="AD448" s="487">
        <f t="shared" si="224"/>
        <v>0</v>
      </c>
      <c r="AE448" s="487">
        <f t="shared" si="224"/>
        <v>0</v>
      </c>
      <c r="AF448" s="487">
        <f t="shared" si="224"/>
        <v>0</v>
      </c>
      <c r="AG448" s="487">
        <f t="shared" si="224"/>
        <v>0</v>
      </c>
      <c r="AH448" s="487">
        <f t="shared" si="224"/>
        <v>0</v>
      </c>
      <c r="AI448" s="487">
        <f t="shared" si="224"/>
        <v>0</v>
      </c>
      <c r="AJ448" s="477">
        <f t="shared" si="223"/>
        <v>0</v>
      </c>
      <c r="AK448" s="545" t="str">
        <f>CONCATENATE(IF((D449+D450+D451+D452)&lt;&gt;D448," * "&amp;$A448&amp;" , "&amp;$B449&amp;" plus "&amp;$B450&amp;" plus "&amp;$B451&amp;" plus "&amp;$B452&amp;" For age "&amp;$D$20&amp;" "&amp;$D$21&amp;" should be equal to "&amp;$B448&amp;""&amp;CHAR(10),""),IF((E449+E450+E451+E452)&lt;&gt;E448," * "&amp;$A448&amp;" , "&amp;$B449&amp;" plus "&amp;$B450&amp;" plus "&amp;$B451&amp;" plus "&amp;$B452&amp;" For age "&amp;$D$20&amp;" "&amp;$E$21&amp;" should be equal to "&amp;$B448&amp;""&amp;CHAR(10),""),IF((F449+F450+F451+F452)&lt;&gt;F448," * "&amp;$A448&amp;" , "&amp;$B449&amp;" plus "&amp;$B450&amp;" plus "&amp;$B451&amp;" plus "&amp;$B452&amp;" For age "&amp;$F$20&amp;" "&amp;$F$21&amp;" should be equal to "&amp;$B448&amp;""&amp;CHAR(10),""),IF((G449+G450+G451+G452)&lt;&gt;G448," * "&amp;$A448&amp;" , "&amp;$B449&amp;" plus "&amp;$B450&amp;" plus "&amp;$B451&amp;" plus "&amp;$B452&amp;" For age "&amp;$F$20&amp;" "&amp;$G$21&amp;" should be equal to "&amp;$B448&amp;""&amp;CHAR(10),""),IF((H449+H450+H451+H452)&lt;&gt;H448," * "&amp;$A448&amp;" , "&amp;$B449&amp;" plus "&amp;$B450&amp;" plus "&amp;$B451&amp;" plus "&amp;$B452&amp;" For age "&amp;$H$20&amp;" "&amp;$H$21&amp;" should be equal to "&amp;$B448&amp;""&amp;CHAR(10),""),IF((I449+I450+I451+I452)&lt;&gt;I448," * "&amp;$A448&amp;" , "&amp;$B449&amp;" plus "&amp;$B450&amp;" plus "&amp;$B451&amp;" plus "&amp;$B452&amp;" For age "&amp;$H$20&amp;" "&amp;$I$21&amp;" should be equal to "&amp;$B448&amp;""&amp;CHAR(10),""),IF((J449+J450+J451+J452)&lt;&gt;J448," * "&amp;$A448&amp;" , "&amp;$B449&amp;" plus "&amp;$B450&amp;" plus "&amp;$B451&amp;" plus "&amp;$B452&amp;" For age "&amp;$J$20&amp;" "&amp;$J$21&amp;" should be equal to "&amp;$B448&amp;""&amp;CHAR(10),""),IF((K449+K450+K451+K452)&lt;&gt;K448," * "&amp;$A448&amp;" , "&amp;$B449&amp;" plus "&amp;$B450&amp;" plus "&amp;$B451&amp;" plus "&amp;$B452&amp;" For age "&amp;$J$20&amp;" "&amp;$K$21&amp;" should be equal to "&amp;$B448&amp;""&amp;CHAR(10),""),IF((L449+L450+L451+L452)&lt;&gt;L448," * "&amp;$A448&amp;" , "&amp;$B449&amp;" plus "&amp;$B450&amp;" plus "&amp;$B451&amp;" plus "&amp;$B452&amp;" For age "&amp;$L$20&amp;" "&amp;$L$21&amp;" should be equal to "&amp;$B448&amp;""&amp;CHAR(10),""),IF((M449+M450+M451+M452)&lt;&gt;M448," * "&amp;$A448&amp;" , "&amp;$B449&amp;" plus "&amp;$B450&amp;" plus "&amp;$B451&amp;" plus "&amp;$B452&amp;" For age "&amp;$L$20&amp;" "&amp;$M$21&amp;" should be equal to "&amp;$B448&amp;""&amp;CHAR(10),""),IF((N449+N450+N451+N452)&lt;&gt;N448," * "&amp;$A448&amp;" , "&amp;$B449&amp;" plus "&amp;$B450&amp;" plus "&amp;$B451&amp;" plus "&amp;$B452&amp;" For age "&amp;$N$20&amp;" "&amp;$N$21&amp;" should be equal to "&amp;$B448&amp;""&amp;CHAR(10),""),IF((O449+O450+O451+O452)&lt;&gt;O448," * "&amp;$A448&amp;" , "&amp;$B449&amp;" plus "&amp;$B450&amp;" plus "&amp;$B451&amp;" plus "&amp;$B452&amp;" For age "&amp;$N$20&amp;" "&amp;$O$21&amp;" should be equal to "&amp;$B448&amp;""&amp;CHAR(10),""),IF((P449+P450+P451+P452)&lt;&gt;P448," * "&amp;$A448&amp;" , "&amp;$B449&amp;" plus "&amp;$B450&amp;" plus "&amp;$B451&amp;" plus "&amp;$B452&amp;" For age "&amp;$P$20&amp;" "&amp;$P$21&amp;" should be equal to "&amp;$B448&amp;""&amp;CHAR(10),""),IF((Q449+Q450+Q451+Q452)&lt;&gt;Q448," * "&amp;$A448&amp;" , "&amp;$B449&amp;" plus "&amp;$B450&amp;" plus "&amp;$B451&amp;" plus "&amp;$B452&amp;" For age "&amp;$P$20&amp;" "&amp;$Q$21&amp;" should be equal to "&amp;$B448&amp;""&amp;CHAR(10),""),IF((R449+R450+R451+R452)&lt;&gt;R448," * "&amp;$A448&amp;" , "&amp;$B449&amp;" plus "&amp;$B450&amp;" plus "&amp;$B451&amp;" plus "&amp;$B452&amp;" For age "&amp;$R$20&amp;" "&amp;$R$21&amp;" should be equal to "&amp;$B448&amp;""&amp;CHAR(10),""),IF((S449+S450+S451+S452)&lt;&gt;S448," * "&amp;$A448&amp;" , "&amp;$B449&amp;" plus "&amp;$B450&amp;" plus "&amp;$B451&amp;" plus "&amp;$B452&amp;" For age "&amp;$R$20&amp;" "&amp;$S$21&amp;" should be equal to "&amp;$B448&amp;""&amp;CHAR(10),""),IF((T449+T450+T451+T452)&lt;&gt;T448," * "&amp;$A448&amp;" , "&amp;$B449&amp;" plus "&amp;$B450&amp;" plus "&amp;$B451&amp;" plus "&amp;$B452&amp;" For age "&amp;$T$20&amp;" "&amp;$T$21&amp;" should be equal to "&amp;$B448&amp;""&amp;CHAR(10),""),IF((U449+U450+U451+U452)&lt;&gt;U448," * "&amp;$A448&amp;" , "&amp;$B449&amp;" plus "&amp;$B450&amp;" plus "&amp;$B451&amp;" plus "&amp;$B452&amp;" For age "&amp;$T$20&amp;" "&amp;$U$21&amp;" should be equal to "&amp;$B448&amp;""&amp;CHAR(10),""),IF((V449+V450+V451+V452)&lt;&gt;V448," * "&amp;$A448&amp;" , "&amp;$B449&amp;" plus "&amp;$B450&amp;" plus "&amp;$B451&amp;" plus "&amp;$B452&amp;" For age "&amp;$V$20&amp;" "&amp;$V$21&amp;" should be equal to "&amp;$B448&amp;""&amp;CHAR(10),""),IF((W449+W450+W451+W452)&lt;&gt;W448," * "&amp;$A448&amp;" , "&amp;$B449&amp;" plus "&amp;$B450&amp;" plus "&amp;$B451&amp;" plus "&amp;$B452&amp;" For age "&amp;$V$20&amp;" "&amp;$W$21&amp;" should be equal to "&amp;$B448&amp;""&amp;CHAR(10),""),IF((X449+X450+X451+X452)&lt;&gt;X448," * "&amp;$A448&amp;" , "&amp;$B449&amp;" plus "&amp;$B450&amp;" plus "&amp;$B451&amp;" plus "&amp;$B452&amp;" For age "&amp;$X$20&amp;" "&amp;$X$21&amp;" should be equal to "&amp;$B448&amp;""&amp;CHAR(10),""),IF((Y449+Y450+Y451+Y452)&lt;&gt;Y448," * "&amp;$A448&amp;" , "&amp;$B449&amp;" plus "&amp;$B450&amp;" plus "&amp;$B451&amp;" plus "&amp;$B452&amp;" For age "&amp;$X$20&amp;" "&amp;$Y$21&amp;" should be equal to "&amp;$B448&amp;""&amp;CHAR(10),""),IF((Z449+Z450+Z451+Z452)&lt;&gt;Z448," * "&amp;$A448&amp;" , "&amp;$B449&amp;" plus "&amp;$B450&amp;" plus "&amp;$B451&amp;" plus "&amp;$B452&amp;" For age "&amp;$Z$20&amp;" "&amp;$Z$21&amp;" should be equal to "&amp;$B448&amp;""&amp;CHAR(10),""),IF((AA449+AA450+AA451+AA452)&lt;&gt;AA448," * "&amp;$A448&amp;" , "&amp;$B449&amp;" plus "&amp;$B450&amp;" plus "&amp;$B451&amp;" plus "&amp;$B452&amp;" For age "&amp;$Z$20&amp;" "&amp;$AA$21&amp;" should be equal to "&amp;$B448&amp;""&amp;CHAR(10),""))</f>
        <v/>
      </c>
      <c r="AL448" s="1150"/>
      <c r="AM448" s="31"/>
      <c r="AN448" s="793"/>
      <c r="AO448" s="13">
        <v>31</v>
      </c>
      <c r="AP448" s="81"/>
      <c r="AQ448" s="82"/>
    </row>
    <row r="449" spans="1:43" s="83" customFormat="1" ht="26.25" x14ac:dyDescent="0.4">
      <c r="A449" s="1400"/>
      <c r="B449" s="736" t="s">
        <v>1075</v>
      </c>
      <c r="C449" s="740" t="s">
        <v>1067</v>
      </c>
      <c r="D449" s="625"/>
      <c r="E449" s="751"/>
      <c r="F449" s="550"/>
      <c r="G449" s="547"/>
      <c r="H449" s="547"/>
      <c r="I449" s="547"/>
      <c r="J449" s="547"/>
      <c r="K449" s="547"/>
      <c r="L449" s="547"/>
      <c r="M449" s="547"/>
      <c r="N449" s="547"/>
      <c r="O449" s="547"/>
      <c r="P449" s="547"/>
      <c r="Q449" s="547"/>
      <c r="R449" s="547"/>
      <c r="S449" s="547"/>
      <c r="T449" s="547"/>
      <c r="U449" s="547"/>
      <c r="V449" s="547"/>
      <c r="W449" s="547"/>
      <c r="X449" s="547"/>
      <c r="Y449" s="547"/>
      <c r="Z449" s="489">
        <f t="shared" ref="Z449:Z452" si="225">SUM(AB449,AD449,AF449,AH449)</f>
        <v>0</v>
      </c>
      <c r="AA449" s="489">
        <f t="shared" ref="AA449:AA452" si="226">SUM(AC449,AE449,AG449,AI449)</f>
        <v>0</v>
      </c>
      <c r="AB449" s="547"/>
      <c r="AC449" s="547"/>
      <c r="AD449" s="547"/>
      <c r="AE449" s="547"/>
      <c r="AF449" s="547"/>
      <c r="AG449" s="547"/>
      <c r="AH449" s="547"/>
      <c r="AI449" s="547"/>
      <c r="AJ449" s="478">
        <f t="shared" si="223"/>
        <v>0</v>
      </c>
      <c r="AK449" s="1216"/>
      <c r="AL449" s="1150"/>
      <c r="AM449" s="31" t="str">
        <f>CONCATENATE(IF(AND(IFERROR((AJ450*100)/AJ449,0)&gt;10,AJ450&gt;5)," * This facility has a high positivity rate for Index Testing. Kindly confirm if this is the true reflection"&amp;CHAR(10),""),"")</f>
        <v/>
      </c>
      <c r="AN449" s="793"/>
      <c r="AO449" s="13">
        <v>32</v>
      </c>
      <c r="AP449" s="81"/>
      <c r="AQ449" s="82"/>
    </row>
    <row r="450" spans="1:43" s="83" customFormat="1" ht="26.25" x14ac:dyDescent="0.4">
      <c r="A450" s="1400"/>
      <c r="B450" s="736" t="s">
        <v>1056</v>
      </c>
      <c r="C450" s="740" t="s">
        <v>1068</v>
      </c>
      <c r="D450" s="724"/>
      <c r="E450" s="752"/>
      <c r="F450" s="551"/>
      <c r="G450" s="481"/>
      <c r="H450" s="481"/>
      <c r="I450" s="481"/>
      <c r="J450" s="481"/>
      <c r="K450" s="481"/>
      <c r="L450" s="481"/>
      <c r="M450" s="481"/>
      <c r="N450" s="481"/>
      <c r="O450" s="481"/>
      <c r="P450" s="481"/>
      <c r="Q450" s="481"/>
      <c r="R450" s="481"/>
      <c r="S450" s="481"/>
      <c r="T450" s="481"/>
      <c r="U450" s="481"/>
      <c r="V450" s="481"/>
      <c r="W450" s="481"/>
      <c r="X450" s="481"/>
      <c r="Y450" s="481"/>
      <c r="Z450" s="489">
        <f t="shared" si="225"/>
        <v>0</v>
      </c>
      <c r="AA450" s="489">
        <f t="shared" si="226"/>
        <v>0</v>
      </c>
      <c r="AB450" s="481"/>
      <c r="AC450" s="481"/>
      <c r="AD450" s="481"/>
      <c r="AE450" s="481"/>
      <c r="AF450" s="481"/>
      <c r="AG450" s="481"/>
      <c r="AH450" s="481"/>
      <c r="AI450" s="481"/>
      <c r="AJ450" s="479">
        <f t="shared" si="223"/>
        <v>0</v>
      </c>
      <c r="AK450" s="1216"/>
      <c r="AL450" s="1150"/>
      <c r="AM450" s="31" t="e">
        <f>CONCATENATE(IF(D449&gt;0," * F01-12 for Age "&amp;D436&amp;" "&amp;D437&amp;" has a value greater than 0"&amp;CHAR(10),""),IF(E449&gt;0," * F01-12 for Age "&amp;D436&amp;" "&amp;E437&amp;" has a value greater than 0"&amp;CHAR(10),""),IF(D450&gt;0," * F01-13 for Age "&amp;D436&amp;" "&amp;D437&amp;" has a value greater than 0"&amp;CHAR(10),""),IF(E450&gt;0," * F01-13 for Age "&amp;D436&amp;" "&amp;E437&amp;" has a value greater than 0"&amp;CHAR(10),""),IF(#REF!&gt;0," * F01-14 for Age "&amp;D436&amp;" "&amp;D437&amp;" has a value greater than 0"&amp;CHAR(10),""),IF(#REF!&gt;0," * F01-14 for Age "&amp;D436&amp;" "&amp;E437&amp;" has a value greater than 0"&amp;CHAR(10),""),IF(D513&gt;0," * F01-15 for Age "&amp;D436&amp;" "&amp;D437&amp;" has a value greater than 0"&amp;CHAR(10),""),IF(E513&gt;0," * F01-15 for Age "&amp;D436&amp;" "&amp;E437&amp;" has a value greater than 0"&amp;CHAR(10),""),IF(D518&gt;0," * F01-20 for Age "&amp;D436&amp;" "&amp;D437&amp;" has a value greater than 0"&amp;CHAR(10),""),IF(E518&gt;0," * F01-20 for Age "&amp;D436&amp;" "&amp;E437&amp;" has a value greater than 0"&amp;CHAR(10),""),IF(D519&gt;0," * F01-21 for Age "&amp;D436&amp;" "&amp;D437&amp;" has a value greater than 0"&amp;CHAR(10),""),IF(E519&gt;0," * F01-21 for Age "&amp;D436&amp;" "&amp;E437&amp;" has a value greater than 0"&amp;CHAR(10),""),IF(D520&gt;0," * F01-22 for Age "&amp;D436&amp;" "&amp;D437&amp;" has a value greater than 0"&amp;CHAR(10),""),IF(E520&gt;0," * F01-22 for Age "&amp;D436&amp;" "&amp;E437&amp;" has a value greater than 0"&amp;CHAR(10),""),IF(D521&gt;0," * F01-23 for Age "&amp;D436&amp;" "&amp;D437&amp;" has a value greater than 0"&amp;CHAR(10),""),IF(E521&gt;0," * F01-23 for Age "&amp;D436&amp;" "&amp;E437&amp;" has a value greater than 0"&amp;CHAR(10),""),"")</f>
        <v>#REF!</v>
      </c>
      <c r="AN450" s="793"/>
      <c r="AO450" s="13">
        <v>33</v>
      </c>
      <c r="AP450" s="81"/>
      <c r="AQ450" s="82"/>
    </row>
    <row r="451" spans="1:43" s="83" customFormat="1" ht="26.25" x14ac:dyDescent="0.4">
      <c r="A451" s="1400"/>
      <c r="B451" s="736" t="s">
        <v>1058</v>
      </c>
      <c r="C451" s="740" t="s">
        <v>1069</v>
      </c>
      <c r="D451" s="724"/>
      <c r="E451" s="752"/>
      <c r="F451" s="552"/>
      <c r="G451" s="488"/>
      <c r="H451" s="488"/>
      <c r="I451" s="488"/>
      <c r="J451" s="488"/>
      <c r="K451" s="488"/>
      <c r="L451" s="488"/>
      <c r="M451" s="488"/>
      <c r="N451" s="488"/>
      <c r="O451" s="488"/>
      <c r="P451" s="488"/>
      <c r="Q451" s="488"/>
      <c r="R451" s="488"/>
      <c r="S451" s="488"/>
      <c r="T451" s="488"/>
      <c r="U451" s="488"/>
      <c r="V451" s="488"/>
      <c r="W451" s="488"/>
      <c r="X451" s="488"/>
      <c r="Y451" s="488"/>
      <c r="Z451" s="489">
        <f t="shared" si="225"/>
        <v>0</v>
      </c>
      <c r="AA451" s="489">
        <f t="shared" si="226"/>
        <v>0</v>
      </c>
      <c r="AB451" s="488"/>
      <c r="AC451" s="488"/>
      <c r="AD451" s="488"/>
      <c r="AE451" s="488"/>
      <c r="AF451" s="488"/>
      <c r="AG451" s="488"/>
      <c r="AH451" s="488"/>
      <c r="AI451" s="488"/>
      <c r="AJ451" s="479">
        <f t="shared" si="223"/>
        <v>0</v>
      </c>
      <c r="AK451" s="470"/>
      <c r="AL451" s="1150"/>
      <c r="AM451" s="31" t="str">
        <f>CONCATENATE(IF(D450&gt;0," * F01-12 for Age "&amp;D437&amp;" "&amp;D438&amp;" has a value greater than 0"&amp;CHAR(10),""),IF(E450&gt;0," * F01-12 for Age "&amp;D437&amp;" "&amp;E438&amp;" has a value greater than 0"&amp;CHAR(10),""),IF(D451&gt;0," * F01-13 for Age "&amp;D437&amp;" "&amp;D438&amp;" has a value greater than 0"&amp;CHAR(10),""),IF(E451&gt;0," * F01-13 for Age "&amp;D437&amp;" "&amp;E438&amp;" has a value greater than 0"&amp;CHAR(10),""),IF(D513&gt;0," * F01-14 for Age "&amp;D437&amp;" "&amp;D438&amp;" has a value greater than 0"&amp;CHAR(10),""),IF(E513&gt;0," * F01-14 for Age "&amp;D437&amp;" "&amp;E438&amp;" has a value greater than 0"&amp;CHAR(10),""),IF(D514&gt;0," * F01-15 for Age "&amp;D437&amp;" "&amp;D438&amp;" has a value greater than 0"&amp;CHAR(10),""),IF(E514&gt;0," * F01-15 for Age "&amp;D437&amp;" "&amp;E438&amp;" has a value greater than 0"&amp;CHAR(10),""),IF(D519&gt;0," * F01-20 for Age "&amp;D437&amp;" "&amp;D438&amp;" has a value greater than 0"&amp;CHAR(10),""),IF(E519&gt;0," * F01-20 for Age "&amp;D437&amp;" "&amp;E438&amp;" has a value greater than 0"&amp;CHAR(10),""),IF(D520&gt;0," * F01-21 for Age "&amp;D437&amp;" "&amp;D438&amp;" has a value greater than 0"&amp;CHAR(10),""),IF(E520&gt;0," * F01-21 for Age "&amp;D437&amp;" "&amp;E438&amp;" has a value greater than 0"&amp;CHAR(10),""),IF(D521&gt;0," * F01-22 for Age "&amp;D437&amp;" "&amp;D438&amp;" has a value greater than 0"&amp;CHAR(10),""),IF(E521&gt;0," * F01-22 for Age "&amp;D437&amp;" "&amp;E438&amp;" has a value greater than 0"&amp;CHAR(10),""),IF(D522&gt;0," * F01-23 for Age "&amp;D437&amp;" "&amp;D438&amp;" has a value greater than 0"&amp;CHAR(10),""),IF(E522&gt;0," * F01-23 for Age "&amp;D437&amp;" "&amp;E438&amp;" has a value greater than 0"&amp;CHAR(10),""),"")</f>
        <v/>
      </c>
      <c r="AN451" s="793"/>
      <c r="AO451" s="13">
        <v>33</v>
      </c>
      <c r="AP451" s="81"/>
      <c r="AQ451" s="82"/>
    </row>
    <row r="452" spans="1:43" s="83" customFormat="1" ht="27" thickBot="1" x14ac:dyDescent="0.45">
      <c r="A452" s="1401"/>
      <c r="B452" s="737" t="s">
        <v>1060</v>
      </c>
      <c r="C452" s="741" t="s">
        <v>1070</v>
      </c>
      <c r="D452" s="725"/>
      <c r="E452" s="753"/>
      <c r="F452" s="553"/>
      <c r="G452" s="549"/>
      <c r="H452" s="549"/>
      <c r="I452" s="549"/>
      <c r="J452" s="549"/>
      <c r="K452" s="549"/>
      <c r="L452" s="549"/>
      <c r="M452" s="549"/>
      <c r="N452" s="549"/>
      <c r="O452" s="549"/>
      <c r="P452" s="549"/>
      <c r="Q452" s="549"/>
      <c r="R452" s="549"/>
      <c r="S452" s="549"/>
      <c r="T452" s="549"/>
      <c r="U452" s="549"/>
      <c r="V452" s="549"/>
      <c r="W452" s="549"/>
      <c r="X452" s="549"/>
      <c r="Y452" s="549"/>
      <c r="Z452" s="489">
        <f t="shared" si="225"/>
        <v>0</v>
      </c>
      <c r="AA452" s="489">
        <f t="shared" si="226"/>
        <v>0</v>
      </c>
      <c r="AB452" s="549"/>
      <c r="AC452" s="549"/>
      <c r="AD452" s="549"/>
      <c r="AE452" s="549"/>
      <c r="AF452" s="549"/>
      <c r="AG452" s="549"/>
      <c r="AH452" s="549"/>
      <c r="AI452" s="549"/>
      <c r="AJ452" s="480">
        <f t="shared" si="223"/>
        <v>0</v>
      </c>
      <c r="AK452" s="470"/>
      <c r="AL452" s="1150"/>
      <c r="AM452" s="31" t="str">
        <f>CONCATENATE(IF(D451&gt;0," * F01-12 for Age "&amp;D438&amp;" "&amp;D439&amp;" has a value greater than 0"&amp;CHAR(10),""),IF(E451&gt;0," * F01-12 for Age "&amp;D438&amp;" "&amp;E439&amp;" has a value greater than 0"&amp;CHAR(10),""),IF(D452&gt;0," * F01-13 for Age "&amp;D438&amp;" "&amp;D439&amp;" has a value greater than 0"&amp;CHAR(10),""),IF(E452&gt;0," * F01-13 for Age "&amp;D438&amp;" "&amp;E439&amp;" has a value greater than 0"&amp;CHAR(10),""),IF(D514&gt;0," * F01-14 for Age "&amp;D438&amp;" "&amp;D439&amp;" has a value greater than 0"&amp;CHAR(10),""),IF(E514&gt;0," * F01-14 for Age "&amp;D438&amp;" "&amp;E439&amp;" has a value greater than 0"&amp;CHAR(10),""),IF(D515&gt;0," * F01-15 for Age "&amp;D438&amp;" "&amp;D439&amp;" has a value greater than 0"&amp;CHAR(10),""),IF(E515&gt;0," * F01-15 for Age "&amp;D438&amp;" "&amp;E439&amp;" has a value greater than 0"&amp;CHAR(10),""),IF(D520&gt;0," * F01-20 for Age "&amp;D438&amp;" "&amp;D439&amp;" has a value greater than 0"&amp;CHAR(10),""),IF(E520&gt;0," * F01-20 for Age "&amp;D438&amp;" "&amp;E439&amp;" has a value greater than 0"&amp;CHAR(10),""),IF(D521&gt;0," * F01-21 for Age "&amp;D438&amp;" "&amp;D439&amp;" has a value greater than 0"&amp;CHAR(10),""),IF(E521&gt;0," * F01-21 for Age "&amp;D438&amp;" "&amp;E439&amp;" has a value greater than 0"&amp;CHAR(10),""),IF(D522&gt;0," * F01-22 for Age "&amp;D438&amp;" "&amp;D439&amp;" has a value greater than 0"&amp;CHAR(10),""),IF(E522&gt;0," * F01-22 for Age "&amp;D438&amp;" "&amp;E439&amp;" has a value greater than 0"&amp;CHAR(10),""),IF(D523&gt;0," * F01-23 for Age "&amp;D438&amp;" "&amp;D439&amp;" has a value greater than 0"&amp;CHAR(10),""),IF(E523&gt;0," * F01-23 for Age "&amp;D438&amp;" "&amp;E439&amp;" has a value greater than 0"&amp;CHAR(10),""),"")</f>
        <v/>
      </c>
      <c r="AN452" s="793"/>
      <c r="AO452" s="13">
        <v>33</v>
      </c>
      <c r="AP452" s="81"/>
      <c r="AQ452" s="82"/>
    </row>
    <row r="453" spans="1:43" s="83" customFormat="1" ht="27" thickBot="1" x14ac:dyDescent="0.45">
      <c r="A453" s="1399" t="s">
        <v>15</v>
      </c>
      <c r="B453" s="735" t="s">
        <v>138</v>
      </c>
      <c r="C453" s="739" t="s">
        <v>1071</v>
      </c>
      <c r="D453" s="722"/>
      <c r="E453" s="750"/>
      <c r="F453" s="761">
        <f t="shared" ref="F453:AI453" si="227">F38</f>
        <v>0</v>
      </c>
      <c r="G453" s="487">
        <f t="shared" si="227"/>
        <v>0</v>
      </c>
      <c r="H453" s="487">
        <f t="shared" si="227"/>
        <v>0</v>
      </c>
      <c r="I453" s="487">
        <f t="shared" si="227"/>
        <v>0</v>
      </c>
      <c r="J453" s="487">
        <f t="shared" si="227"/>
        <v>0</v>
      </c>
      <c r="K453" s="487">
        <f t="shared" si="227"/>
        <v>0</v>
      </c>
      <c r="L453" s="487">
        <f t="shared" si="227"/>
        <v>0</v>
      </c>
      <c r="M453" s="487">
        <f t="shared" si="227"/>
        <v>0</v>
      </c>
      <c r="N453" s="487">
        <f t="shared" si="227"/>
        <v>0</v>
      </c>
      <c r="O453" s="487">
        <f t="shared" si="227"/>
        <v>0</v>
      </c>
      <c r="P453" s="487">
        <f t="shared" si="227"/>
        <v>0</v>
      </c>
      <c r="Q453" s="487">
        <f t="shared" si="227"/>
        <v>0</v>
      </c>
      <c r="R453" s="487">
        <f t="shared" si="227"/>
        <v>0</v>
      </c>
      <c r="S453" s="487">
        <f t="shared" si="227"/>
        <v>0</v>
      </c>
      <c r="T453" s="487">
        <f t="shared" si="227"/>
        <v>0</v>
      </c>
      <c r="U453" s="487">
        <f t="shared" si="227"/>
        <v>0</v>
      </c>
      <c r="V453" s="487">
        <f t="shared" si="227"/>
        <v>0</v>
      </c>
      <c r="W453" s="487">
        <f t="shared" si="227"/>
        <v>0</v>
      </c>
      <c r="X453" s="487">
        <f t="shared" si="227"/>
        <v>0</v>
      </c>
      <c r="Y453" s="487">
        <f t="shared" si="227"/>
        <v>0</v>
      </c>
      <c r="Z453" s="487">
        <f t="shared" si="227"/>
        <v>0</v>
      </c>
      <c r="AA453" s="487">
        <f t="shared" si="227"/>
        <v>0</v>
      </c>
      <c r="AB453" s="487">
        <f t="shared" si="227"/>
        <v>0</v>
      </c>
      <c r="AC453" s="487">
        <f t="shared" si="227"/>
        <v>0</v>
      </c>
      <c r="AD453" s="487">
        <f t="shared" si="227"/>
        <v>0</v>
      </c>
      <c r="AE453" s="487">
        <f t="shared" si="227"/>
        <v>0</v>
      </c>
      <c r="AF453" s="487">
        <f t="shared" si="227"/>
        <v>0</v>
      </c>
      <c r="AG453" s="487">
        <f t="shared" si="227"/>
        <v>0</v>
      </c>
      <c r="AH453" s="487">
        <f t="shared" si="227"/>
        <v>0</v>
      </c>
      <c r="AI453" s="487">
        <f t="shared" si="227"/>
        <v>0</v>
      </c>
      <c r="AJ453" s="477">
        <f t="shared" si="223"/>
        <v>0</v>
      </c>
      <c r="AK453" s="545" t="str">
        <f>CONCATENATE(IF((D454+D455+D456+D457)&lt;&gt;D453," * "&amp;$A453&amp;" , "&amp;$B454&amp;" plus "&amp;$B455&amp;" plus "&amp;$B456&amp;" plus "&amp;$B457&amp;" For age "&amp;$D$20&amp;" "&amp;$D$21&amp;" should be equal to "&amp;$B453&amp;""&amp;CHAR(10),""),IF((E454+E455+E456+E457)&lt;&gt;E453," * "&amp;$A453&amp;" , "&amp;$B454&amp;" plus "&amp;$B455&amp;" plus "&amp;$B456&amp;" plus "&amp;$B457&amp;" For age "&amp;$D$20&amp;" "&amp;$E$21&amp;" should be equal to "&amp;$B453&amp;""&amp;CHAR(10),""),IF((F454+F455+F456+F457)&lt;&gt;F453," * "&amp;$A453&amp;" , "&amp;$B454&amp;" plus "&amp;$B455&amp;" plus "&amp;$B456&amp;" plus "&amp;$B457&amp;" For age "&amp;$F$20&amp;" "&amp;$F$21&amp;" should be equal to "&amp;$B453&amp;""&amp;CHAR(10),""),IF((G454+G455+G456+G457)&lt;&gt;G453," * "&amp;$A453&amp;" , "&amp;$B454&amp;" plus "&amp;$B455&amp;" plus "&amp;$B456&amp;" plus "&amp;$B457&amp;" For age "&amp;$F$20&amp;" "&amp;$G$21&amp;" should be equal to "&amp;$B453&amp;""&amp;CHAR(10),""),IF((H454+H455+H456+H457)&lt;&gt;H453," * "&amp;$A453&amp;" , "&amp;$B454&amp;" plus "&amp;$B455&amp;" plus "&amp;$B456&amp;" plus "&amp;$B457&amp;" For age "&amp;$H$20&amp;" "&amp;$H$21&amp;" should be equal to "&amp;$B453&amp;""&amp;CHAR(10),""),IF((I454+I455+I456+I457)&lt;&gt;I453," * "&amp;$A453&amp;" , "&amp;$B454&amp;" plus "&amp;$B455&amp;" plus "&amp;$B456&amp;" plus "&amp;$B457&amp;" For age "&amp;$H$20&amp;" "&amp;$I$21&amp;" should be equal to "&amp;$B453&amp;""&amp;CHAR(10),""),IF((J454+J455+J456+J457)&lt;&gt;J453," * "&amp;$A453&amp;" , "&amp;$B454&amp;" plus "&amp;$B455&amp;" plus "&amp;$B456&amp;" plus "&amp;$B457&amp;" For age "&amp;$J$20&amp;" "&amp;$J$21&amp;" should be equal to "&amp;$B453&amp;""&amp;CHAR(10),""),IF((K454+K455+K456+K457)&lt;&gt;K453," * "&amp;$A453&amp;" , "&amp;$B454&amp;" plus "&amp;$B455&amp;" plus "&amp;$B456&amp;" plus "&amp;$B457&amp;" For age "&amp;$J$20&amp;" "&amp;$K$21&amp;" should be equal to "&amp;$B453&amp;""&amp;CHAR(10),""),IF((L454+L455+L456+L457)&lt;&gt;L453," * "&amp;$A453&amp;" , "&amp;$B454&amp;" plus "&amp;$B455&amp;" plus "&amp;$B456&amp;" plus "&amp;$B457&amp;" For age "&amp;$L$20&amp;" "&amp;$L$21&amp;" should be equal to "&amp;$B453&amp;""&amp;CHAR(10),""),IF((M454+M455+M456+M457)&lt;&gt;M453," * "&amp;$A453&amp;" , "&amp;$B454&amp;" plus "&amp;$B455&amp;" plus "&amp;$B456&amp;" plus "&amp;$B457&amp;" For age "&amp;$L$20&amp;" "&amp;$M$21&amp;" should be equal to "&amp;$B453&amp;""&amp;CHAR(10),""),IF((N454+N455+N456+N457)&lt;&gt;N453," * "&amp;$A453&amp;" , "&amp;$B454&amp;" plus "&amp;$B455&amp;" plus "&amp;$B456&amp;" plus "&amp;$B457&amp;" For age "&amp;$N$20&amp;" "&amp;$N$21&amp;" should be equal to "&amp;$B453&amp;""&amp;CHAR(10),""),IF((O454+O455+O456+O457)&lt;&gt;O453," * "&amp;$A453&amp;" , "&amp;$B454&amp;" plus "&amp;$B455&amp;" plus "&amp;$B456&amp;" plus "&amp;$B457&amp;" For age "&amp;$N$20&amp;" "&amp;$O$21&amp;" should be equal to "&amp;$B453&amp;""&amp;CHAR(10),""),IF((P454+P455+P456+P457)&lt;&gt;P453," * "&amp;$A453&amp;" , "&amp;$B454&amp;" plus "&amp;$B455&amp;" plus "&amp;$B456&amp;" plus "&amp;$B457&amp;" For age "&amp;$P$20&amp;" "&amp;$P$21&amp;" should be equal to "&amp;$B453&amp;""&amp;CHAR(10),""),IF((Q454+Q455+Q456+Q457)&lt;&gt;Q453," * "&amp;$A453&amp;" , "&amp;$B454&amp;" plus "&amp;$B455&amp;" plus "&amp;$B456&amp;" plus "&amp;$B457&amp;" For age "&amp;$P$20&amp;" "&amp;$Q$21&amp;" should be equal to "&amp;$B453&amp;""&amp;CHAR(10),""),IF((R454+R455+R456+R457)&lt;&gt;R453," * "&amp;$A453&amp;" , "&amp;$B454&amp;" plus "&amp;$B455&amp;" plus "&amp;$B456&amp;" plus "&amp;$B457&amp;" For age "&amp;$R$20&amp;" "&amp;$R$21&amp;" should be equal to "&amp;$B453&amp;""&amp;CHAR(10),""),IF((S454+S455+S456+S457)&lt;&gt;S453," * "&amp;$A453&amp;" , "&amp;$B454&amp;" plus "&amp;$B455&amp;" plus "&amp;$B456&amp;" plus "&amp;$B457&amp;" For age "&amp;$R$20&amp;" "&amp;$S$21&amp;" should be equal to "&amp;$B453&amp;""&amp;CHAR(10),""),IF((T454+T455+T456+T457)&lt;&gt;T453," * "&amp;$A453&amp;" , "&amp;$B454&amp;" plus "&amp;$B455&amp;" plus "&amp;$B456&amp;" plus "&amp;$B457&amp;" For age "&amp;$T$20&amp;" "&amp;$T$21&amp;" should be equal to "&amp;$B453&amp;""&amp;CHAR(10),""),IF((U454+U455+U456+U457)&lt;&gt;U453," * "&amp;$A453&amp;" , "&amp;$B454&amp;" plus "&amp;$B455&amp;" plus "&amp;$B456&amp;" plus "&amp;$B457&amp;" For age "&amp;$T$20&amp;" "&amp;$U$21&amp;" should be equal to "&amp;$B453&amp;""&amp;CHAR(10),""),IF((V454+V455+V456+V457)&lt;&gt;V453," * "&amp;$A453&amp;" , "&amp;$B454&amp;" plus "&amp;$B455&amp;" plus "&amp;$B456&amp;" plus "&amp;$B457&amp;" For age "&amp;$V$20&amp;" "&amp;$V$21&amp;" should be equal to "&amp;$B453&amp;""&amp;CHAR(10),""),IF((W454+W455+W456+W457)&lt;&gt;W453," * "&amp;$A453&amp;" , "&amp;$B454&amp;" plus "&amp;$B455&amp;" plus "&amp;$B456&amp;" plus "&amp;$B457&amp;" For age "&amp;$V$20&amp;" "&amp;$W$21&amp;" should be equal to "&amp;$B453&amp;""&amp;CHAR(10),""),IF((X454+X455+X456+X457)&lt;&gt;X453," * "&amp;$A453&amp;" , "&amp;$B454&amp;" plus "&amp;$B455&amp;" plus "&amp;$B456&amp;" plus "&amp;$B457&amp;" For age "&amp;$X$20&amp;" "&amp;$X$21&amp;" should be equal to "&amp;$B453&amp;""&amp;CHAR(10),""),IF((Y454+Y455+Y456+Y457)&lt;&gt;Y453," * "&amp;$A453&amp;" , "&amp;$B454&amp;" plus "&amp;$B455&amp;" plus "&amp;$B456&amp;" plus "&amp;$B457&amp;" For age "&amp;$X$20&amp;" "&amp;$Y$21&amp;" should be equal to "&amp;$B453&amp;""&amp;CHAR(10),""),IF((Z454+Z455+Z456+Z457)&lt;&gt;Z453," * "&amp;$A453&amp;" , "&amp;$B454&amp;" plus "&amp;$B455&amp;" plus "&amp;$B456&amp;" plus "&amp;$B457&amp;" For age "&amp;$Z$20&amp;" "&amp;$Z$21&amp;" should be equal to "&amp;$B453&amp;""&amp;CHAR(10),""),IF((AA454+AA455+AA456+AA457)&lt;&gt;AA453," * "&amp;$A453&amp;" , "&amp;$B454&amp;" plus "&amp;$B455&amp;" plus "&amp;$B456&amp;" plus "&amp;$B457&amp;" For age "&amp;$Z$20&amp;" "&amp;$AA$21&amp;" should be equal to "&amp;$B453&amp;""&amp;CHAR(10),""))</f>
        <v/>
      </c>
      <c r="AL453" s="1150"/>
      <c r="AM453" s="31"/>
      <c r="AN453" s="793"/>
      <c r="AO453" s="13">
        <v>31</v>
      </c>
      <c r="AP453" s="81"/>
      <c r="AQ453" s="82"/>
    </row>
    <row r="454" spans="1:43" s="83" customFormat="1" ht="26.25" x14ac:dyDescent="0.4">
      <c r="A454" s="1400"/>
      <c r="B454" s="736" t="s">
        <v>1075</v>
      </c>
      <c r="C454" s="740" t="s">
        <v>1072</v>
      </c>
      <c r="D454" s="625"/>
      <c r="E454" s="751"/>
      <c r="F454" s="550"/>
      <c r="G454" s="547"/>
      <c r="H454" s="547"/>
      <c r="I454" s="547"/>
      <c r="J454" s="547"/>
      <c r="K454" s="547"/>
      <c r="L454" s="547"/>
      <c r="M454" s="547"/>
      <c r="N454" s="547"/>
      <c r="O454" s="547"/>
      <c r="P454" s="547"/>
      <c r="Q454" s="547"/>
      <c r="R454" s="547"/>
      <c r="S454" s="547"/>
      <c r="T454" s="547"/>
      <c r="U454" s="547"/>
      <c r="V454" s="547"/>
      <c r="W454" s="547"/>
      <c r="X454" s="547"/>
      <c r="Y454" s="547"/>
      <c r="Z454" s="489">
        <f t="shared" ref="Z454:Z457" si="228">SUM(AB454,AD454,AF454,AH454)</f>
        <v>0</v>
      </c>
      <c r="AA454" s="489">
        <f t="shared" ref="AA454:AA457" si="229">SUM(AC454,AE454,AG454,AI454)</f>
        <v>0</v>
      </c>
      <c r="AB454" s="547"/>
      <c r="AC454" s="547"/>
      <c r="AD454" s="547"/>
      <c r="AE454" s="547"/>
      <c r="AF454" s="547"/>
      <c r="AG454" s="547"/>
      <c r="AH454" s="547"/>
      <c r="AI454" s="547"/>
      <c r="AJ454" s="478">
        <f t="shared" si="223"/>
        <v>0</v>
      </c>
      <c r="AK454" s="1216"/>
      <c r="AL454" s="1150"/>
      <c r="AM454" s="31" t="str">
        <f>CONCATENATE(IF(AND(IFERROR((AJ455*100)/AJ454,0)&gt;10,AJ455&gt;5)," * This facility has a high positivity rate for Index Testing. Kindly confirm if this is the true reflection"&amp;CHAR(10),""),"")</f>
        <v/>
      </c>
      <c r="AN454" s="793"/>
      <c r="AO454" s="13">
        <v>32</v>
      </c>
      <c r="AP454" s="81"/>
      <c r="AQ454" s="82"/>
    </row>
    <row r="455" spans="1:43" s="83" customFormat="1" ht="26.25" x14ac:dyDescent="0.4">
      <c r="A455" s="1400"/>
      <c r="B455" s="736" t="s">
        <v>1056</v>
      </c>
      <c r="C455" s="740" t="s">
        <v>1073</v>
      </c>
      <c r="D455" s="724"/>
      <c r="E455" s="752"/>
      <c r="F455" s="551"/>
      <c r="G455" s="481"/>
      <c r="H455" s="481"/>
      <c r="I455" s="481"/>
      <c r="J455" s="481"/>
      <c r="K455" s="481"/>
      <c r="L455" s="481"/>
      <c r="M455" s="481"/>
      <c r="N455" s="481"/>
      <c r="O455" s="481"/>
      <c r="P455" s="481"/>
      <c r="Q455" s="481"/>
      <c r="R455" s="481"/>
      <c r="S455" s="481"/>
      <c r="T455" s="481"/>
      <c r="U455" s="481"/>
      <c r="V455" s="481"/>
      <c r="W455" s="481"/>
      <c r="X455" s="481"/>
      <c r="Y455" s="481"/>
      <c r="Z455" s="489">
        <f t="shared" si="228"/>
        <v>0</v>
      </c>
      <c r="AA455" s="489">
        <f t="shared" si="229"/>
        <v>0</v>
      </c>
      <c r="AB455" s="481"/>
      <c r="AC455" s="481"/>
      <c r="AD455" s="481"/>
      <c r="AE455" s="481"/>
      <c r="AF455" s="481"/>
      <c r="AG455" s="481"/>
      <c r="AH455" s="481"/>
      <c r="AI455" s="481"/>
      <c r="AJ455" s="479">
        <f t="shared" si="223"/>
        <v>0</v>
      </c>
      <c r="AK455" s="1216"/>
      <c r="AL455" s="1150"/>
      <c r="AM455" s="31" t="e">
        <f>CONCATENATE(IF(D454&gt;0," * F01-12 for Age "&amp;D441&amp;" "&amp;D442&amp;" has a value greater than 0"&amp;CHAR(10),""),IF(E454&gt;0," * F01-12 for Age "&amp;D441&amp;" "&amp;E442&amp;" has a value greater than 0"&amp;CHAR(10),""),IF(D455&gt;0," * F01-13 for Age "&amp;D441&amp;" "&amp;D442&amp;" has a value greater than 0"&amp;CHAR(10),""),IF(E455&gt;0," * F01-13 for Age "&amp;D441&amp;" "&amp;E442&amp;" has a value greater than 0"&amp;CHAR(10),""),IF(#REF!&gt;0," * F01-14 for Age "&amp;D441&amp;" "&amp;D442&amp;" has a value greater than 0"&amp;CHAR(10),""),IF(#REF!&gt;0," * F01-14 for Age "&amp;D441&amp;" "&amp;E442&amp;" has a value greater than 0"&amp;CHAR(10),""),IF(D518&gt;0," * F01-15 for Age "&amp;D441&amp;" "&amp;D442&amp;" has a value greater than 0"&amp;CHAR(10),""),IF(E518&gt;0," * F01-15 for Age "&amp;D441&amp;" "&amp;E442&amp;" has a value greater than 0"&amp;CHAR(10),""),IF(D523&gt;0," * F01-20 for Age "&amp;D441&amp;" "&amp;D442&amp;" has a value greater than 0"&amp;CHAR(10),""),IF(E523&gt;0," * F01-20 for Age "&amp;D441&amp;" "&amp;E442&amp;" has a value greater than 0"&amp;CHAR(10),""),IF(D524&gt;0," * F01-21 for Age "&amp;D441&amp;" "&amp;D442&amp;" has a value greater than 0"&amp;CHAR(10),""),IF(E524&gt;0," * F01-21 for Age "&amp;D441&amp;" "&amp;E442&amp;" has a value greater than 0"&amp;CHAR(10),""),IF(D525&gt;0," * F01-22 for Age "&amp;D441&amp;" "&amp;D442&amp;" has a value greater than 0"&amp;CHAR(10),""),IF(E525&gt;0," * F01-22 for Age "&amp;D441&amp;" "&amp;E442&amp;" has a value greater than 0"&amp;CHAR(10),""),IF(D526&gt;0," * F01-23 for Age "&amp;D441&amp;" "&amp;D442&amp;" has a value greater than 0"&amp;CHAR(10),""),IF(E526&gt;0," * F01-23 for Age "&amp;D441&amp;" "&amp;E442&amp;" has a value greater than 0"&amp;CHAR(10),""),"")</f>
        <v>#REF!</v>
      </c>
      <c r="AN455" s="793"/>
      <c r="AO455" s="13">
        <v>33</v>
      </c>
      <c r="AP455" s="81"/>
      <c r="AQ455" s="82"/>
    </row>
    <row r="456" spans="1:43" s="83" customFormat="1" ht="26.25" x14ac:dyDescent="0.4">
      <c r="A456" s="1400"/>
      <c r="B456" s="736" t="s">
        <v>1058</v>
      </c>
      <c r="C456" s="740" t="s">
        <v>1074</v>
      </c>
      <c r="D456" s="724"/>
      <c r="E456" s="752"/>
      <c r="F456" s="552"/>
      <c r="G456" s="488"/>
      <c r="H456" s="488"/>
      <c r="I456" s="488"/>
      <c r="J456" s="488"/>
      <c r="K456" s="488"/>
      <c r="L456" s="488"/>
      <c r="M456" s="488"/>
      <c r="N456" s="488"/>
      <c r="O456" s="488"/>
      <c r="P456" s="488"/>
      <c r="Q456" s="488"/>
      <c r="R456" s="488"/>
      <c r="S456" s="488"/>
      <c r="T456" s="488"/>
      <c r="U456" s="488"/>
      <c r="V456" s="488"/>
      <c r="W456" s="488"/>
      <c r="X456" s="488"/>
      <c r="Y456" s="488"/>
      <c r="Z456" s="489">
        <f t="shared" si="228"/>
        <v>0</v>
      </c>
      <c r="AA456" s="489">
        <f t="shared" si="229"/>
        <v>0</v>
      </c>
      <c r="AB456" s="488"/>
      <c r="AC456" s="488"/>
      <c r="AD456" s="488"/>
      <c r="AE456" s="488"/>
      <c r="AF456" s="488"/>
      <c r="AG456" s="488"/>
      <c r="AH456" s="488"/>
      <c r="AI456" s="488"/>
      <c r="AJ456" s="479">
        <f t="shared" si="223"/>
        <v>0</v>
      </c>
      <c r="AK456" s="470"/>
      <c r="AL456" s="1150"/>
      <c r="AM456" s="31" t="str">
        <f>CONCATENATE(IF(D455&gt;0," * F01-12 for Age "&amp;D442&amp;" "&amp;D443&amp;" has a value greater than 0"&amp;CHAR(10),""),IF(E455&gt;0," * F01-12 for Age "&amp;D442&amp;" "&amp;E443&amp;" has a value greater than 0"&amp;CHAR(10),""),IF(D456&gt;0," * F01-13 for Age "&amp;D442&amp;" "&amp;D443&amp;" has a value greater than 0"&amp;CHAR(10),""),IF(E456&gt;0," * F01-13 for Age "&amp;D442&amp;" "&amp;E443&amp;" has a value greater than 0"&amp;CHAR(10),""),IF(D518&gt;0," * F01-14 for Age "&amp;D442&amp;" "&amp;D443&amp;" has a value greater than 0"&amp;CHAR(10),""),IF(E518&gt;0," * F01-14 for Age "&amp;D442&amp;" "&amp;E443&amp;" has a value greater than 0"&amp;CHAR(10),""),IF(D519&gt;0," * F01-15 for Age "&amp;D442&amp;" "&amp;D443&amp;" has a value greater than 0"&amp;CHAR(10),""),IF(E519&gt;0," * F01-15 for Age "&amp;D442&amp;" "&amp;E443&amp;" has a value greater than 0"&amp;CHAR(10),""),IF(D524&gt;0," * F01-20 for Age "&amp;D442&amp;" "&amp;D443&amp;" has a value greater than 0"&amp;CHAR(10),""),IF(E524&gt;0," * F01-20 for Age "&amp;D442&amp;" "&amp;E443&amp;" has a value greater than 0"&amp;CHAR(10),""),IF(D525&gt;0," * F01-21 for Age "&amp;D442&amp;" "&amp;D443&amp;" has a value greater than 0"&amp;CHAR(10),""),IF(E525&gt;0," * F01-21 for Age "&amp;D442&amp;" "&amp;E443&amp;" has a value greater than 0"&amp;CHAR(10),""),IF(D526&gt;0," * F01-22 for Age "&amp;D442&amp;" "&amp;D443&amp;" has a value greater than 0"&amp;CHAR(10),""),IF(E526&gt;0," * F01-22 for Age "&amp;D442&amp;" "&amp;E443&amp;" has a value greater than 0"&amp;CHAR(10),""),IF(D527&gt;0," * F01-23 for Age "&amp;D442&amp;" "&amp;D443&amp;" has a value greater than 0"&amp;CHAR(10),""),IF(E527&gt;0," * F01-23 for Age "&amp;D442&amp;" "&amp;E443&amp;" has a value greater than 0"&amp;CHAR(10),""),"")</f>
        <v/>
      </c>
      <c r="AN456" s="793"/>
      <c r="AO456" s="13">
        <v>33</v>
      </c>
      <c r="AP456" s="81"/>
      <c r="AQ456" s="82"/>
    </row>
    <row r="457" spans="1:43" s="83" customFormat="1" ht="27" thickBot="1" x14ac:dyDescent="0.45">
      <c r="A457" s="1401"/>
      <c r="B457" s="737" t="s">
        <v>1060</v>
      </c>
      <c r="C457" s="741" t="s">
        <v>1080</v>
      </c>
      <c r="D457" s="725"/>
      <c r="E457" s="753"/>
      <c r="F457" s="553"/>
      <c r="G457" s="549"/>
      <c r="H457" s="549"/>
      <c r="I457" s="549"/>
      <c r="J457" s="549"/>
      <c r="K457" s="549"/>
      <c r="L457" s="549"/>
      <c r="M457" s="549"/>
      <c r="N457" s="549"/>
      <c r="O457" s="549"/>
      <c r="P457" s="549"/>
      <c r="Q457" s="549"/>
      <c r="R457" s="549"/>
      <c r="S457" s="549"/>
      <c r="T457" s="549"/>
      <c r="U457" s="549"/>
      <c r="V457" s="549"/>
      <c r="W457" s="549"/>
      <c r="X457" s="549"/>
      <c r="Y457" s="549"/>
      <c r="Z457" s="489">
        <f t="shared" si="228"/>
        <v>0</v>
      </c>
      <c r="AA457" s="489">
        <f t="shared" si="229"/>
        <v>0</v>
      </c>
      <c r="AB457" s="549"/>
      <c r="AC457" s="549"/>
      <c r="AD457" s="549"/>
      <c r="AE457" s="549"/>
      <c r="AF457" s="549"/>
      <c r="AG457" s="549"/>
      <c r="AH457" s="549"/>
      <c r="AI457" s="549"/>
      <c r="AJ457" s="480">
        <f t="shared" ref="AJ457:AJ476" si="230">SUM(D457:AA457)</f>
        <v>0</v>
      </c>
      <c r="AK457" s="470"/>
      <c r="AL457" s="1150"/>
      <c r="AM457" s="31" t="str">
        <f>CONCATENATE(IF(D456&gt;0," * F01-12 for Age "&amp;D443&amp;" "&amp;D444&amp;" has a value greater than 0"&amp;CHAR(10),""),IF(E456&gt;0," * F01-12 for Age "&amp;D443&amp;" "&amp;E444&amp;" has a value greater than 0"&amp;CHAR(10),""),IF(D457&gt;0," * F01-13 for Age "&amp;D443&amp;" "&amp;D444&amp;" has a value greater than 0"&amp;CHAR(10),""),IF(E457&gt;0," * F01-13 for Age "&amp;D443&amp;" "&amp;E444&amp;" has a value greater than 0"&amp;CHAR(10),""),IF(D519&gt;0," * F01-14 for Age "&amp;D443&amp;" "&amp;D444&amp;" has a value greater than 0"&amp;CHAR(10),""),IF(E519&gt;0," * F01-14 for Age "&amp;D443&amp;" "&amp;E444&amp;" has a value greater than 0"&amp;CHAR(10),""),IF(D520&gt;0," * F01-15 for Age "&amp;D443&amp;" "&amp;D444&amp;" has a value greater than 0"&amp;CHAR(10),""),IF(E520&gt;0," * F01-15 for Age "&amp;D443&amp;" "&amp;E444&amp;" has a value greater than 0"&amp;CHAR(10),""),IF(D525&gt;0," * F01-20 for Age "&amp;D443&amp;" "&amp;D444&amp;" has a value greater than 0"&amp;CHAR(10),""),IF(E525&gt;0," * F01-20 for Age "&amp;D443&amp;" "&amp;E444&amp;" has a value greater than 0"&amp;CHAR(10),""),IF(D526&gt;0," * F01-21 for Age "&amp;D443&amp;" "&amp;D444&amp;" has a value greater than 0"&amp;CHAR(10),""),IF(E526&gt;0," * F01-21 for Age "&amp;D443&amp;" "&amp;E444&amp;" has a value greater than 0"&amp;CHAR(10),""),IF(D527&gt;0," * F01-22 for Age "&amp;D443&amp;" "&amp;D444&amp;" has a value greater than 0"&amp;CHAR(10),""),IF(E527&gt;0," * F01-22 for Age "&amp;D443&amp;" "&amp;E444&amp;" has a value greater than 0"&amp;CHAR(10),""),IF(D528&gt;0," * F01-23 for Age "&amp;D443&amp;" "&amp;D444&amp;" has a value greater than 0"&amp;CHAR(10),""),IF(E528&gt;0," * F01-23 for Age "&amp;D443&amp;" "&amp;E444&amp;" has a value greater than 0"&amp;CHAR(10),""),"")</f>
        <v/>
      </c>
      <c r="AN457" s="793"/>
      <c r="AO457" s="13">
        <v>33</v>
      </c>
      <c r="AP457" s="81"/>
      <c r="AQ457" s="82"/>
    </row>
    <row r="458" spans="1:43" s="83" customFormat="1" ht="27" thickBot="1" x14ac:dyDescent="0.45">
      <c r="A458" s="1399" t="s">
        <v>1076</v>
      </c>
      <c r="B458" s="735" t="s">
        <v>138</v>
      </c>
      <c r="C458" s="739" t="s">
        <v>1081</v>
      </c>
      <c r="D458" s="722"/>
      <c r="E458" s="750"/>
      <c r="F458" s="761">
        <f t="shared" ref="F458:AI458" si="231">F40</f>
        <v>0</v>
      </c>
      <c r="G458" s="487">
        <f t="shared" si="231"/>
        <v>0</v>
      </c>
      <c r="H458" s="487">
        <f t="shared" si="231"/>
        <v>0</v>
      </c>
      <c r="I458" s="487">
        <f t="shared" si="231"/>
        <v>0</v>
      </c>
      <c r="J458" s="487">
        <f t="shared" si="231"/>
        <v>0</v>
      </c>
      <c r="K458" s="487">
        <f t="shared" si="231"/>
        <v>0</v>
      </c>
      <c r="L458" s="487">
        <f t="shared" si="231"/>
        <v>0</v>
      </c>
      <c r="M458" s="487">
        <f t="shared" si="231"/>
        <v>0</v>
      </c>
      <c r="N458" s="487">
        <f t="shared" si="231"/>
        <v>0</v>
      </c>
      <c r="O458" s="487">
        <f t="shared" si="231"/>
        <v>0</v>
      </c>
      <c r="P458" s="487">
        <f t="shared" si="231"/>
        <v>0</v>
      </c>
      <c r="Q458" s="487">
        <f t="shared" si="231"/>
        <v>0</v>
      </c>
      <c r="R458" s="487">
        <f t="shared" si="231"/>
        <v>0</v>
      </c>
      <c r="S458" s="487">
        <f t="shared" si="231"/>
        <v>0</v>
      </c>
      <c r="T458" s="487">
        <f t="shared" si="231"/>
        <v>0</v>
      </c>
      <c r="U458" s="487">
        <f t="shared" si="231"/>
        <v>0</v>
      </c>
      <c r="V458" s="487">
        <f t="shared" si="231"/>
        <v>0</v>
      </c>
      <c r="W458" s="487">
        <f t="shared" si="231"/>
        <v>0</v>
      </c>
      <c r="X458" s="487">
        <f t="shared" si="231"/>
        <v>0</v>
      </c>
      <c r="Y458" s="487">
        <f t="shared" si="231"/>
        <v>0</v>
      </c>
      <c r="Z458" s="487">
        <f t="shared" si="231"/>
        <v>0</v>
      </c>
      <c r="AA458" s="487">
        <f t="shared" si="231"/>
        <v>0</v>
      </c>
      <c r="AB458" s="487">
        <f t="shared" si="231"/>
        <v>0</v>
      </c>
      <c r="AC458" s="487">
        <f t="shared" si="231"/>
        <v>0</v>
      </c>
      <c r="AD458" s="487">
        <f t="shared" si="231"/>
        <v>0</v>
      </c>
      <c r="AE458" s="487">
        <f t="shared" si="231"/>
        <v>0</v>
      </c>
      <c r="AF458" s="487">
        <f t="shared" si="231"/>
        <v>0</v>
      </c>
      <c r="AG458" s="487">
        <f t="shared" si="231"/>
        <v>0</v>
      </c>
      <c r="AH458" s="487">
        <f t="shared" si="231"/>
        <v>0</v>
      </c>
      <c r="AI458" s="487">
        <f t="shared" si="231"/>
        <v>0</v>
      </c>
      <c r="AJ458" s="477">
        <f t="shared" si="230"/>
        <v>0</v>
      </c>
      <c r="AK458" s="545" t="str">
        <f>CONCATENATE(IF((D459+D460+D461+D462)&lt;&gt;D458," * "&amp;$A458&amp;" , "&amp;$B459&amp;" plus "&amp;$B460&amp;" plus "&amp;$B461&amp;" plus "&amp;$B462&amp;" For age "&amp;$D$20&amp;" "&amp;$D$21&amp;" should be equal to "&amp;$B458&amp;""&amp;CHAR(10),""),IF((E459+E460+E461+E462)&lt;&gt;E458," * "&amp;$A458&amp;" , "&amp;$B459&amp;" plus "&amp;$B460&amp;" plus "&amp;$B461&amp;" plus "&amp;$B462&amp;" For age "&amp;$D$20&amp;" "&amp;$E$21&amp;" should be equal to "&amp;$B458&amp;""&amp;CHAR(10),""),IF((F459+F460+F461+F462)&lt;&gt;F458," * "&amp;$A458&amp;" , "&amp;$B459&amp;" plus "&amp;$B460&amp;" plus "&amp;$B461&amp;" plus "&amp;$B462&amp;" For age "&amp;$F$20&amp;" "&amp;$F$21&amp;" should be equal to "&amp;$B458&amp;""&amp;CHAR(10),""),IF((G459+G460+G461+G462)&lt;&gt;G458," * "&amp;$A458&amp;" , "&amp;$B459&amp;" plus "&amp;$B460&amp;" plus "&amp;$B461&amp;" plus "&amp;$B462&amp;" For age "&amp;$F$20&amp;" "&amp;$G$21&amp;" should be equal to "&amp;$B458&amp;""&amp;CHAR(10),""),IF((H459+H460+H461+H462)&lt;&gt;H458," * "&amp;$A458&amp;" , "&amp;$B459&amp;" plus "&amp;$B460&amp;" plus "&amp;$B461&amp;" plus "&amp;$B462&amp;" For age "&amp;$H$20&amp;" "&amp;$H$21&amp;" should be equal to "&amp;$B458&amp;""&amp;CHAR(10),""),IF((I459+I460+I461+I462)&lt;&gt;I458," * "&amp;$A458&amp;" , "&amp;$B459&amp;" plus "&amp;$B460&amp;" plus "&amp;$B461&amp;" plus "&amp;$B462&amp;" For age "&amp;$H$20&amp;" "&amp;$I$21&amp;" should be equal to "&amp;$B458&amp;""&amp;CHAR(10),""),IF((J459+J460+J461+J462)&lt;&gt;J458," * "&amp;$A458&amp;" , "&amp;$B459&amp;" plus "&amp;$B460&amp;" plus "&amp;$B461&amp;" plus "&amp;$B462&amp;" For age "&amp;$J$20&amp;" "&amp;$J$21&amp;" should be equal to "&amp;$B458&amp;""&amp;CHAR(10),""),IF((K459+K460+K461+K462)&lt;&gt;K458," * "&amp;$A458&amp;" , "&amp;$B459&amp;" plus "&amp;$B460&amp;" plus "&amp;$B461&amp;" plus "&amp;$B462&amp;" For age "&amp;$J$20&amp;" "&amp;$K$21&amp;" should be equal to "&amp;$B458&amp;""&amp;CHAR(10),""),IF((L459+L460+L461+L462)&lt;&gt;L458," * "&amp;$A458&amp;" , "&amp;$B459&amp;" plus "&amp;$B460&amp;" plus "&amp;$B461&amp;" plus "&amp;$B462&amp;" For age "&amp;$L$20&amp;" "&amp;$L$21&amp;" should be equal to "&amp;$B458&amp;""&amp;CHAR(10),""),IF((M459+M460+M461+M462)&lt;&gt;M458," * "&amp;$A458&amp;" , "&amp;$B459&amp;" plus "&amp;$B460&amp;" plus "&amp;$B461&amp;" plus "&amp;$B462&amp;" For age "&amp;$L$20&amp;" "&amp;$M$21&amp;" should be equal to "&amp;$B458&amp;""&amp;CHAR(10),""),IF((N459+N460+N461+N462)&lt;&gt;N458," * "&amp;$A458&amp;" , "&amp;$B459&amp;" plus "&amp;$B460&amp;" plus "&amp;$B461&amp;" plus "&amp;$B462&amp;" For age "&amp;$N$20&amp;" "&amp;$N$21&amp;" should be equal to "&amp;$B458&amp;""&amp;CHAR(10),""),IF((O459+O460+O461+O462)&lt;&gt;O458," * "&amp;$A458&amp;" , "&amp;$B459&amp;" plus "&amp;$B460&amp;" plus "&amp;$B461&amp;" plus "&amp;$B462&amp;" For age "&amp;$N$20&amp;" "&amp;$O$21&amp;" should be equal to "&amp;$B458&amp;""&amp;CHAR(10),""),IF((P459+P460+P461+P462)&lt;&gt;P458," * "&amp;$A458&amp;" , "&amp;$B459&amp;" plus "&amp;$B460&amp;" plus "&amp;$B461&amp;" plus "&amp;$B462&amp;" For age "&amp;$P$20&amp;" "&amp;$P$21&amp;" should be equal to "&amp;$B458&amp;""&amp;CHAR(10),""),IF((Q459+Q460+Q461+Q462)&lt;&gt;Q458," * "&amp;$A458&amp;" , "&amp;$B459&amp;" plus "&amp;$B460&amp;" plus "&amp;$B461&amp;" plus "&amp;$B462&amp;" For age "&amp;$P$20&amp;" "&amp;$Q$21&amp;" should be equal to "&amp;$B458&amp;""&amp;CHAR(10),""),IF((R459+R460+R461+R462)&lt;&gt;R458," * "&amp;$A458&amp;" , "&amp;$B459&amp;" plus "&amp;$B460&amp;" plus "&amp;$B461&amp;" plus "&amp;$B462&amp;" For age "&amp;$R$20&amp;" "&amp;$R$21&amp;" should be equal to "&amp;$B458&amp;""&amp;CHAR(10),""),IF((S459+S460+S461+S462)&lt;&gt;S458," * "&amp;$A458&amp;" , "&amp;$B459&amp;" plus "&amp;$B460&amp;" plus "&amp;$B461&amp;" plus "&amp;$B462&amp;" For age "&amp;$R$20&amp;" "&amp;$S$21&amp;" should be equal to "&amp;$B458&amp;""&amp;CHAR(10),""),IF((T459+T460+T461+T462)&lt;&gt;T458," * "&amp;$A458&amp;" , "&amp;$B459&amp;" plus "&amp;$B460&amp;" plus "&amp;$B461&amp;" plus "&amp;$B462&amp;" For age "&amp;$T$20&amp;" "&amp;$T$21&amp;" should be equal to "&amp;$B458&amp;""&amp;CHAR(10),""),IF((U459+U460+U461+U462)&lt;&gt;U458," * "&amp;$A458&amp;" , "&amp;$B459&amp;" plus "&amp;$B460&amp;" plus "&amp;$B461&amp;" plus "&amp;$B462&amp;" For age "&amp;$T$20&amp;" "&amp;$U$21&amp;" should be equal to "&amp;$B458&amp;""&amp;CHAR(10),""),IF((V459+V460+V461+V462)&lt;&gt;V458," * "&amp;$A458&amp;" , "&amp;$B459&amp;" plus "&amp;$B460&amp;" plus "&amp;$B461&amp;" plus "&amp;$B462&amp;" For age "&amp;$V$20&amp;" "&amp;$V$21&amp;" should be equal to "&amp;$B458&amp;""&amp;CHAR(10),""),IF((W459+W460+W461+W462)&lt;&gt;W458," * "&amp;$A458&amp;" , "&amp;$B459&amp;" plus "&amp;$B460&amp;" plus "&amp;$B461&amp;" plus "&amp;$B462&amp;" For age "&amp;$V$20&amp;" "&amp;$W$21&amp;" should be equal to "&amp;$B458&amp;""&amp;CHAR(10),""),IF((X459+X460+X461+X462)&lt;&gt;X458," * "&amp;$A458&amp;" , "&amp;$B459&amp;" plus "&amp;$B460&amp;" plus "&amp;$B461&amp;" plus "&amp;$B462&amp;" For age "&amp;$X$20&amp;" "&amp;$X$21&amp;" should be equal to "&amp;$B458&amp;""&amp;CHAR(10),""),IF((Y459+Y460+Y461+Y462)&lt;&gt;Y458," * "&amp;$A458&amp;" , "&amp;$B459&amp;" plus "&amp;$B460&amp;" plus "&amp;$B461&amp;" plus "&amp;$B462&amp;" For age "&amp;$X$20&amp;" "&amp;$Y$21&amp;" should be equal to "&amp;$B458&amp;""&amp;CHAR(10),""),IF((Z459+Z460+Z461+Z462)&lt;&gt;Z458," * "&amp;$A458&amp;" , "&amp;$B459&amp;" plus "&amp;$B460&amp;" plus "&amp;$B461&amp;" plus "&amp;$B462&amp;" For age "&amp;$Z$20&amp;" "&amp;$Z$21&amp;" should be equal to "&amp;$B458&amp;""&amp;CHAR(10),""),IF((AA459+AA460+AA461+AA462)&lt;&gt;AA458," * "&amp;$A458&amp;" , "&amp;$B459&amp;" plus "&amp;$B460&amp;" plus "&amp;$B461&amp;" plus "&amp;$B462&amp;" For age "&amp;$Z$20&amp;" "&amp;$AA$21&amp;" should be equal to "&amp;$B458&amp;""&amp;CHAR(10),""))</f>
        <v/>
      </c>
      <c r="AL458" s="1150"/>
      <c r="AM458" s="31"/>
      <c r="AN458" s="793"/>
      <c r="AO458" s="13">
        <v>31</v>
      </c>
      <c r="AP458" s="81"/>
      <c r="AQ458" s="82"/>
    </row>
    <row r="459" spans="1:43" s="83" customFormat="1" ht="26.25" x14ac:dyDescent="0.4">
      <c r="A459" s="1400"/>
      <c r="B459" s="736" t="s">
        <v>1075</v>
      </c>
      <c r="C459" s="740" t="s">
        <v>1082</v>
      </c>
      <c r="D459" s="625"/>
      <c r="E459" s="751"/>
      <c r="F459" s="550"/>
      <c r="G459" s="547"/>
      <c r="H459" s="547"/>
      <c r="I459" s="547"/>
      <c r="J459" s="547"/>
      <c r="K459" s="547"/>
      <c r="L459" s="547"/>
      <c r="M459" s="547"/>
      <c r="N459" s="547"/>
      <c r="O459" s="547"/>
      <c r="P459" s="547"/>
      <c r="Q459" s="547"/>
      <c r="R459" s="547"/>
      <c r="S459" s="547"/>
      <c r="T459" s="547"/>
      <c r="U459" s="547"/>
      <c r="V459" s="547"/>
      <c r="W459" s="547"/>
      <c r="X459" s="547"/>
      <c r="Y459" s="547"/>
      <c r="Z459" s="489">
        <f t="shared" ref="Z459:Z462" si="232">SUM(AB459,AD459,AF459,AH459)</f>
        <v>0</v>
      </c>
      <c r="AA459" s="489">
        <f t="shared" ref="AA459:AA462" si="233">SUM(AC459,AE459,AG459,AI459)</f>
        <v>0</v>
      </c>
      <c r="AB459" s="547"/>
      <c r="AC459" s="547"/>
      <c r="AD459" s="547"/>
      <c r="AE459" s="547"/>
      <c r="AF459" s="547"/>
      <c r="AG459" s="547"/>
      <c r="AH459" s="547"/>
      <c r="AI459" s="547"/>
      <c r="AJ459" s="478">
        <f t="shared" si="230"/>
        <v>0</v>
      </c>
      <c r="AK459" s="1216"/>
      <c r="AL459" s="1150"/>
      <c r="AM459" s="31" t="str">
        <f>CONCATENATE(IF(AND(IFERROR((AJ460*100)/AJ459,0)&gt;10,AJ460&gt;5)," * This facility has a high positivity rate for Index Testing. Kindly confirm if this is the true reflection"&amp;CHAR(10),""),"")</f>
        <v/>
      </c>
      <c r="AN459" s="793"/>
      <c r="AO459" s="13">
        <v>32</v>
      </c>
      <c r="AP459" s="81"/>
      <c r="AQ459" s="82"/>
    </row>
    <row r="460" spans="1:43" s="83" customFormat="1" ht="26.25" x14ac:dyDescent="0.4">
      <c r="A460" s="1400"/>
      <c r="B460" s="736" t="s">
        <v>1056</v>
      </c>
      <c r="C460" s="740" t="s">
        <v>1083</v>
      </c>
      <c r="D460" s="724"/>
      <c r="E460" s="752"/>
      <c r="F460" s="551"/>
      <c r="G460" s="481"/>
      <c r="H460" s="481"/>
      <c r="I460" s="481"/>
      <c r="J460" s="481"/>
      <c r="K460" s="481"/>
      <c r="L460" s="481"/>
      <c r="M460" s="481"/>
      <c r="N460" s="481"/>
      <c r="O460" s="481"/>
      <c r="P460" s="481"/>
      <c r="Q460" s="481"/>
      <c r="R460" s="481"/>
      <c r="S460" s="481"/>
      <c r="T460" s="481"/>
      <c r="U460" s="481"/>
      <c r="V460" s="481"/>
      <c r="W460" s="481"/>
      <c r="X460" s="481"/>
      <c r="Y460" s="481"/>
      <c r="Z460" s="489">
        <f t="shared" si="232"/>
        <v>0</v>
      </c>
      <c r="AA460" s="489">
        <f t="shared" si="233"/>
        <v>0</v>
      </c>
      <c r="AB460" s="481"/>
      <c r="AC460" s="481"/>
      <c r="AD460" s="481"/>
      <c r="AE460" s="481"/>
      <c r="AF460" s="481"/>
      <c r="AG460" s="481"/>
      <c r="AH460" s="481"/>
      <c r="AI460" s="481"/>
      <c r="AJ460" s="479">
        <f t="shared" si="230"/>
        <v>0</v>
      </c>
      <c r="AK460" s="1216"/>
      <c r="AL460" s="1150"/>
      <c r="AM460" s="31" t="e">
        <f>CONCATENATE(IF(D459&gt;0," * F01-12 for Age "&amp;D446&amp;" "&amp;D447&amp;" has a value greater than 0"&amp;CHAR(10),""),IF(E459&gt;0," * F01-12 for Age "&amp;D446&amp;" "&amp;E447&amp;" has a value greater than 0"&amp;CHAR(10),""),IF(D460&gt;0," * F01-13 for Age "&amp;D446&amp;" "&amp;D447&amp;" has a value greater than 0"&amp;CHAR(10),""),IF(E460&gt;0," * F01-13 for Age "&amp;D446&amp;" "&amp;E447&amp;" has a value greater than 0"&amp;CHAR(10),""),IF(#REF!&gt;0," * F01-14 for Age "&amp;D446&amp;" "&amp;D447&amp;" has a value greater than 0"&amp;CHAR(10),""),IF(#REF!&gt;0," * F01-14 for Age "&amp;D446&amp;" "&amp;E447&amp;" has a value greater than 0"&amp;CHAR(10),""),IF(D523&gt;0," * F01-15 for Age "&amp;D446&amp;" "&amp;D447&amp;" has a value greater than 0"&amp;CHAR(10),""),IF(E523&gt;0," * F01-15 for Age "&amp;D446&amp;" "&amp;E447&amp;" has a value greater than 0"&amp;CHAR(10),""),IF(D528&gt;0," * F01-20 for Age "&amp;D446&amp;" "&amp;D447&amp;" has a value greater than 0"&amp;CHAR(10),""),IF(E528&gt;0," * F01-20 for Age "&amp;D446&amp;" "&amp;E447&amp;" has a value greater than 0"&amp;CHAR(10),""),IF(D529&gt;0," * F01-21 for Age "&amp;D446&amp;" "&amp;D447&amp;" has a value greater than 0"&amp;CHAR(10),""),IF(E529&gt;0," * F01-21 for Age "&amp;D446&amp;" "&amp;E447&amp;" has a value greater than 0"&amp;CHAR(10),""),IF(D530&gt;0," * F01-22 for Age "&amp;D446&amp;" "&amp;D447&amp;" has a value greater than 0"&amp;CHAR(10),""),IF(E530&gt;0," * F01-22 for Age "&amp;D446&amp;" "&amp;E447&amp;" has a value greater than 0"&amp;CHAR(10),""),IF(D531&gt;0," * F01-23 for Age "&amp;D446&amp;" "&amp;D447&amp;" has a value greater than 0"&amp;CHAR(10),""),IF(E531&gt;0," * F01-23 for Age "&amp;D446&amp;" "&amp;E447&amp;" has a value greater than 0"&amp;CHAR(10),""),"")</f>
        <v>#REF!</v>
      </c>
      <c r="AN460" s="793"/>
      <c r="AO460" s="13">
        <v>33</v>
      </c>
      <c r="AP460" s="81"/>
      <c r="AQ460" s="82"/>
    </row>
    <row r="461" spans="1:43" s="83" customFormat="1" ht="26.25" x14ac:dyDescent="0.4">
      <c r="A461" s="1400"/>
      <c r="B461" s="736" t="s">
        <v>1058</v>
      </c>
      <c r="C461" s="740" t="s">
        <v>1084</v>
      </c>
      <c r="D461" s="724"/>
      <c r="E461" s="752"/>
      <c r="F461" s="552"/>
      <c r="G461" s="488"/>
      <c r="H461" s="488"/>
      <c r="I461" s="488"/>
      <c r="J461" s="488"/>
      <c r="K461" s="488"/>
      <c r="L461" s="488"/>
      <c r="M461" s="488"/>
      <c r="N461" s="488"/>
      <c r="O461" s="488"/>
      <c r="P461" s="488"/>
      <c r="Q461" s="488"/>
      <c r="R461" s="488"/>
      <c r="S461" s="488"/>
      <c r="T461" s="488"/>
      <c r="U461" s="488"/>
      <c r="V461" s="488"/>
      <c r="W461" s="488"/>
      <c r="X461" s="488"/>
      <c r="Y461" s="488"/>
      <c r="Z461" s="489">
        <f t="shared" si="232"/>
        <v>0</v>
      </c>
      <c r="AA461" s="489">
        <f t="shared" si="233"/>
        <v>0</v>
      </c>
      <c r="AB461" s="488"/>
      <c r="AC461" s="488"/>
      <c r="AD461" s="488"/>
      <c r="AE461" s="488"/>
      <c r="AF461" s="488"/>
      <c r="AG461" s="488"/>
      <c r="AH461" s="488"/>
      <c r="AI461" s="488"/>
      <c r="AJ461" s="479">
        <f t="shared" si="230"/>
        <v>0</v>
      </c>
      <c r="AK461" s="470"/>
      <c r="AL461" s="1150"/>
      <c r="AM461" s="31" t="str">
        <f>CONCATENATE(IF(D460&gt;0," * F01-12 for Age "&amp;D447&amp;" "&amp;D448&amp;" has a value greater than 0"&amp;CHAR(10),""),IF(E460&gt;0," * F01-12 for Age "&amp;D447&amp;" "&amp;E448&amp;" has a value greater than 0"&amp;CHAR(10),""),IF(D461&gt;0," * F01-13 for Age "&amp;D447&amp;" "&amp;D448&amp;" has a value greater than 0"&amp;CHAR(10),""),IF(E461&gt;0," * F01-13 for Age "&amp;D447&amp;" "&amp;E448&amp;" has a value greater than 0"&amp;CHAR(10),""),IF(D523&gt;0," * F01-14 for Age "&amp;D447&amp;" "&amp;D448&amp;" has a value greater than 0"&amp;CHAR(10),""),IF(E523&gt;0," * F01-14 for Age "&amp;D447&amp;" "&amp;E448&amp;" has a value greater than 0"&amp;CHAR(10),""),IF(D524&gt;0," * F01-15 for Age "&amp;D447&amp;" "&amp;D448&amp;" has a value greater than 0"&amp;CHAR(10),""),IF(E524&gt;0," * F01-15 for Age "&amp;D447&amp;" "&amp;E448&amp;" has a value greater than 0"&amp;CHAR(10),""),IF(D529&gt;0," * F01-20 for Age "&amp;D447&amp;" "&amp;D448&amp;" has a value greater than 0"&amp;CHAR(10),""),IF(E529&gt;0," * F01-20 for Age "&amp;D447&amp;" "&amp;E448&amp;" has a value greater than 0"&amp;CHAR(10),""),IF(D530&gt;0," * F01-21 for Age "&amp;D447&amp;" "&amp;D448&amp;" has a value greater than 0"&amp;CHAR(10),""),IF(E530&gt;0," * F01-21 for Age "&amp;D447&amp;" "&amp;E448&amp;" has a value greater than 0"&amp;CHAR(10),""),IF(D531&gt;0," * F01-22 for Age "&amp;D447&amp;" "&amp;D448&amp;" has a value greater than 0"&amp;CHAR(10),""),IF(E531&gt;0," * F01-22 for Age "&amp;D447&amp;" "&amp;E448&amp;" has a value greater than 0"&amp;CHAR(10),""),IF(D532&gt;0," * F01-23 for Age "&amp;D447&amp;" "&amp;D448&amp;" has a value greater than 0"&amp;CHAR(10),""),IF(E532&gt;0," * F01-23 for Age "&amp;D447&amp;" "&amp;E448&amp;" has a value greater than 0"&amp;CHAR(10),""),"")</f>
        <v/>
      </c>
      <c r="AN461" s="793"/>
      <c r="AO461" s="13">
        <v>33</v>
      </c>
      <c r="AP461" s="81"/>
      <c r="AQ461" s="82"/>
    </row>
    <row r="462" spans="1:43" s="83" customFormat="1" ht="27" thickBot="1" x14ac:dyDescent="0.45">
      <c r="A462" s="1401"/>
      <c r="B462" s="737" t="s">
        <v>1060</v>
      </c>
      <c r="C462" s="741" t="s">
        <v>1085</v>
      </c>
      <c r="D462" s="725"/>
      <c r="E462" s="753"/>
      <c r="F462" s="553"/>
      <c r="G462" s="549"/>
      <c r="H462" s="549"/>
      <c r="I462" s="549"/>
      <c r="J462" s="549"/>
      <c r="K462" s="549"/>
      <c r="L462" s="549"/>
      <c r="M462" s="549"/>
      <c r="N462" s="549"/>
      <c r="O462" s="549"/>
      <c r="P462" s="549"/>
      <c r="Q462" s="549"/>
      <c r="R462" s="549"/>
      <c r="S462" s="549"/>
      <c r="T462" s="549"/>
      <c r="U462" s="549"/>
      <c r="V462" s="549"/>
      <c r="W462" s="549"/>
      <c r="X462" s="549"/>
      <c r="Y462" s="549"/>
      <c r="Z462" s="489">
        <f t="shared" si="232"/>
        <v>0</v>
      </c>
      <c r="AA462" s="489">
        <f t="shared" si="233"/>
        <v>0</v>
      </c>
      <c r="AB462" s="549"/>
      <c r="AC462" s="549"/>
      <c r="AD462" s="549"/>
      <c r="AE462" s="549"/>
      <c r="AF462" s="549"/>
      <c r="AG462" s="549"/>
      <c r="AH462" s="549"/>
      <c r="AI462" s="549"/>
      <c r="AJ462" s="480">
        <f t="shared" si="230"/>
        <v>0</v>
      </c>
      <c r="AK462" s="470"/>
      <c r="AL462" s="1150"/>
      <c r="AM462" s="31" t="str">
        <f>CONCATENATE(IF(D461&gt;0," * F01-12 for Age "&amp;D448&amp;" "&amp;D449&amp;" has a value greater than 0"&amp;CHAR(10),""),IF(E461&gt;0," * F01-12 for Age "&amp;D448&amp;" "&amp;E449&amp;" has a value greater than 0"&amp;CHAR(10),""),IF(D462&gt;0," * F01-13 for Age "&amp;D448&amp;" "&amp;D449&amp;" has a value greater than 0"&amp;CHAR(10),""),IF(E462&gt;0," * F01-13 for Age "&amp;D448&amp;" "&amp;E449&amp;" has a value greater than 0"&amp;CHAR(10),""),IF(D524&gt;0," * F01-14 for Age "&amp;D448&amp;" "&amp;D449&amp;" has a value greater than 0"&amp;CHAR(10),""),IF(E524&gt;0," * F01-14 for Age "&amp;D448&amp;" "&amp;E449&amp;" has a value greater than 0"&amp;CHAR(10),""),IF(D525&gt;0," * F01-15 for Age "&amp;D448&amp;" "&amp;D449&amp;" has a value greater than 0"&amp;CHAR(10),""),IF(E525&gt;0," * F01-15 for Age "&amp;D448&amp;" "&amp;E449&amp;" has a value greater than 0"&amp;CHAR(10),""),IF(D530&gt;0," * F01-20 for Age "&amp;D448&amp;" "&amp;D449&amp;" has a value greater than 0"&amp;CHAR(10),""),IF(E530&gt;0," * F01-20 for Age "&amp;D448&amp;" "&amp;E449&amp;" has a value greater than 0"&amp;CHAR(10),""),IF(D531&gt;0," * F01-21 for Age "&amp;D448&amp;" "&amp;D449&amp;" has a value greater than 0"&amp;CHAR(10),""),IF(E531&gt;0," * F01-21 for Age "&amp;D448&amp;" "&amp;E449&amp;" has a value greater than 0"&amp;CHAR(10),""),IF(D532&gt;0," * F01-22 for Age "&amp;D448&amp;" "&amp;D449&amp;" has a value greater than 0"&amp;CHAR(10),""),IF(E532&gt;0," * F01-22 for Age "&amp;D448&amp;" "&amp;E449&amp;" has a value greater than 0"&amp;CHAR(10),""),IF(D533&gt;0," * F01-23 for Age "&amp;D448&amp;" "&amp;D449&amp;" has a value greater than 0"&amp;CHAR(10),""),IF(E533&gt;0," * F01-23 for Age "&amp;D448&amp;" "&amp;E449&amp;" has a value greater than 0"&amp;CHAR(10),""),"")</f>
        <v/>
      </c>
      <c r="AN462" s="793"/>
      <c r="AO462" s="13">
        <v>33</v>
      </c>
      <c r="AP462" s="81"/>
      <c r="AQ462" s="82"/>
    </row>
    <row r="463" spans="1:43" s="83" customFormat="1" ht="27" thickBot="1" x14ac:dyDescent="0.45">
      <c r="A463" s="1399" t="s">
        <v>16</v>
      </c>
      <c r="B463" s="735" t="s">
        <v>138</v>
      </c>
      <c r="C463" s="739" t="s">
        <v>1086</v>
      </c>
      <c r="D463" s="722"/>
      <c r="E463" s="750"/>
      <c r="F463" s="761">
        <f t="shared" ref="F463:AI463" si="234">F42</f>
        <v>0</v>
      </c>
      <c r="G463" s="487">
        <f t="shared" si="234"/>
        <v>0</v>
      </c>
      <c r="H463" s="487">
        <f t="shared" si="234"/>
        <v>0</v>
      </c>
      <c r="I463" s="487">
        <f t="shared" si="234"/>
        <v>0</v>
      </c>
      <c r="J463" s="487">
        <f t="shared" si="234"/>
        <v>0</v>
      </c>
      <c r="K463" s="487">
        <f t="shared" si="234"/>
        <v>0</v>
      </c>
      <c r="L463" s="487">
        <f t="shared" si="234"/>
        <v>0</v>
      </c>
      <c r="M463" s="487">
        <f t="shared" si="234"/>
        <v>0</v>
      </c>
      <c r="N463" s="487">
        <f t="shared" si="234"/>
        <v>0</v>
      </c>
      <c r="O463" s="487">
        <f t="shared" si="234"/>
        <v>0</v>
      </c>
      <c r="P463" s="487">
        <f t="shared" si="234"/>
        <v>0</v>
      </c>
      <c r="Q463" s="487">
        <f t="shared" si="234"/>
        <v>0</v>
      </c>
      <c r="R463" s="487">
        <f t="shared" si="234"/>
        <v>0</v>
      </c>
      <c r="S463" s="487">
        <f t="shared" si="234"/>
        <v>0</v>
      </c>
      <c r="T463" s="487">
        <f t="shared" si="234"/>
        <v>0</v>
      </c>
      <c r="U463" s="487">
        <f t="shared" si="234"/>
        <v>0</v>
      </c>
      <c r="V463" s="487">
        <f t="shared" si="234"/>
        <v>0</v>
      </c>
      <c r="W463" s="487">
        <f t="shared" si="234"/>
        <v>0</v>
      </c>
      <c r="X463" s="487">
        <f t="shared" si="234"/>
        <v>0</v>
      </c>
      <c r="Y463" s="487">
        <f t="shared" si="234"/>
        <v>0</v>
      </c>
      <c r="Z463" s="487">
        <f t="shared" si="234"/>
        <v>0</v>
      </c>
      <c r="AA463" s="487">
        <f t="shared" si="234"/>
        <v>0</v>
      </c>
      <c r="AB463" s="487">
        <f t="shared" si="234"/>
        <v>0</v>
      </c>
      <c r="AC463" s="487">
        <f t="shared" si="234"/>
        <v>0</v>
      </c>
      <c r="AD463" s="487">
        <f t="shared" si="234"/>
        <v>0</v>
      </c>
      <c r="AE463" s="487">
        <f t="shared" si="234"/>
        <v>0</v>
      </c>
      <c r="AF463" s="487">
        <f t="shared" si="234"/>
        <v>0</v>
      </c>
      <c r="AG463" s="487">
        <f t="shared" si="234"/>
        <v>0</v>
      </c>
      <c r="AH463" s="487">
        <f t="shared" si="234"/>
        <v>0</v>
      </c>
      <c r="AI463" s="487">
        <f t="shared" si="234"/>
        <v>0</v>
      </c>
      <c r="AJ463" s="477">
        <f t="shared" si="230"/>
        <v>0</v>
      </c>
      <c r="AK463" s="545" t="str">
        <f>CONCATENATE(IF((D464+D465+D466+D467)&lt;&gt;D463," * "&amp;$A463&amp;" , "&amp;$B464&amp;" plus "&amp;$B465&amp;" plus "&amp;$B466&amp;" plus "&amp;$B467&amp;" For age "&amp;$D$20&amp;" "&amp;$D$21&amp;" should be equal to "&amp;$B463&amp;""&amp;CHAR(10),""),IF((E464+E465+E466+E467)&lt;&gt;E463," * "&amp;$A463&amp;" , "&amp;$B464&amp;" plus "&amp;$B465&amp;" plus "&amp;$B466&amp;" plus "&amp;$B467&amp;" For age "&amp;$D$20&amp;" "&amp;$E$21&amp;" should be equal to "&amp;$B463&amp;""&amp;CHAR(10),""),IF((F464+F465+F466+F467)&lt;&gt;F463," * "&amp;$A463&amp;" , "&amp;$B464&amp;" plus "&amp;$B465&amp;" plus "&amp;$B466&amp;" plus "&amp;$B467&amp;" For age "&amp;$F$20&amp;" "&amp;$F$21&amp;" should be equal to "&amp;$B463&amp;""&amp;CHAR(10),""),IF((G464+G465+G466+G467)&lt;&gt;G463," * "&amp;$A463&amp;" , "&amp;$B464&amp;" plus "&amp;$B465&amp;" plus "&amp;$B466&amp;" plus "&amp;$B467&amp;" For age "&amp;$F$20&amp;" "&amp;$G$21&amp;" should be equal to "&amp;$B463&amp;""&amp;CHAR(10),""),IF((H464+H465+H466+H467)&lt;&gt;H463," * "&amp;$A463&amp;" , "&amp;$B464&amp;" plus "&amp;$B465&amp;" plus "&amp;$B466&amp;" plus "&amp;$B467&amp;" For age "&amp;$H$20&amp;" "&amp;$H$21&amp;" should be equal to "&amp;$B463&amp;""&amp;CHAR(10),""),IF((I464+I465+I466+I467)&lt;&gt;I463," * "&amp;$A463&amp;" , "&amp;$B464&amp;" plus "&amp;$B465&amp;" plus "&amp;$B466&amp;" plus "&amp;$B467&amp;" For age "&amp;$H$20&amp;" "&amp;$I$21&amp;" should be equal to "&amp;$B463&amp;""&amp;CHAR(10),""),IF((J464+J465+J466+J467)&lt;&gt;J463," * "&amp;$A463&amp;" , "&amp;$B464&amp;" plus "&amp;$B465&amp;" plus "&amp;$B466&amp;" plus "&amp;$B467&amp;" For age "&amp;$J$20&amp;" "&amp;$J$21&amp;" should be equal to "&amp;$B463&amp;""&amp;CHAR(10),""),IF((K464+K465+K466+K467)&lt;&gt;K463," * "&amp;$A463&amp;" , "&amp;$B464&amp;" plus "&amp;$B465&amp;" plus "&amp;$B466&amp;" plus "&amp;$B467&amp;" For age "&amp;$J$20&amp;" "&amp;$K$21&amp;" should be equal to "&amp;$B463&amp;""&amp;CHAR(10),""),IF((L464+L465+L466+L467)&lt;&gt;L463," * "&amp;$A463&amp;" , "&amp;$B464&amp;" plus "&amp;$B465&amp;" plus "&amp;$B466&amp;" plus "&amp;$B467&amp;" For age "&amp;$L$20&amp;" "&amp;$L$21&amp;" should be equal to "&amp;$B463&amp;""&amp;CHAR(10),""),IF((M464+M465+M466+M467)&lt;&gt;M463," * "&amp;$A463&amp;" , "&amp;$B464&amp;" plus "&amp;$B465&amp;" plus "&amp;$B466&amp;" plus "&amp;$B467&amp;" For age "&amp;$L$20&amp;" "&amp;$M$21&amp;" should be equal to "&amp;$B463&amp;""&amp;CHAR(10),""),IF((N464+N465+N466+N467)&lt;&gt;N463," * "&amp;$A463&amp;" , "&amp;$B464&amp;" plus "&amp;$B465&amp;" plus "&amp;$B466&amp;" plus "&amp;$B467&amp;" For age "&amp;$N$20&amp;" "&amp;$N$21&amp;" should be equal to "&amp;$B463&amp;""&amp;CHAR(10),""),IF((O464+O465+O466+O467)&lt;&gt;O463," * "&amp;$A463&amp;" , "&amp;$B464&amp;" plus "&amp;$B465&amp;" plus "&amp;$B466&amp;" plus "&amp;$B467&amp;" For age "&amp;$N$20&amp;" "&amp;$O$21&amp;" should be equal to "&amp;$B463&amp;""&amp;CHAR(10),""),IF((P464+P465+P466+P467)&lt;&gt;P463," * "&amp;$A463&amp;" , "&amp;$B464&amp;" plus "&amp;$B465&amp;" plus "&amp;$B466&amp;" plus "&amp;$B467&amp;" For age "&amp;$P$20&amp;" "&amp;$P$21&amp;" should be equal to "&amp;$B463&amp;""&amp;CHAR(10),""),IF((Q464+Q465+Q466+Q467)&lt;&gt;Q463," * "&amp;$A463&amp;" , "&amp;$B464&amp;" plus "&amp;$B465&amp;" plus "&amp;$B466&amp;" plus "&amp;$B467&amp;" For age "&amp;$P$20&amp;" "&amp;$Q$21&amp;" should be equal to "&amp;$B463&amp;""&amp;CHAR(10),""),IF((R464+R465+R466+R467)&lt;&gt;R463," * "&amp;$A463&amp;" , "&amp;$B464&amp;" plus "&amp;$B465&amp;" plus "&amp;$B466&amp;" plus "&amp;$B467&amp;" For age "&amp;$R$20&amp;" "&amp;$R$21&amp;" should be equal to "&amp;$B463&amp;""&amp;CHAR(10),""),IF((S464+S465+S466+S467)&lt;&gt;S463," * "&amp;$A463&amp;" , "&amp;$B464&amp;" plus "&amp;$B465&amp;" plus "&amp;$B466&amp;" plus "&amp;$B467&amp;" For age "&amp;$R$20&amp;" "&amp;$S$21&amp;" should be equal to "&amp;$B463&amp;""&amp;CHAR(10),""),IF((T464+T465+T466+T467)&lt;&gt;T463," * "&amp;$A463&amp;" , "&amp;$B464&amp;" plus "&amp;$B465&amp;" plus "&amp;$B466&amp;" plus "&amp;$B467&amp;" For age "&amp;$T$20&amp;" "&amp;$T$21&amp;" should be equal to "&amp;$B463&amp;""&amp;CHAR(10),""),IF((U464+U465+U466+U467)&lt;&gt;U463," * "&amp;$A463&amp;" , "&amp;$B464&amp;" plus "&amp;$B465&amp;" plus "&amp;$B466&amp;" plus "&amp;$B467&amp;" For age "&amp;$T$20&amp;" "&amp;$U$21&amp;" should be equal to "&amp;$B463&amp;""&amp;CHAR(10),""),IF((V464+V465+V466+V467)&lt;&gt;V463," * "&amp;$A463&amp;" , "&amp;$B464&amp;" plus "&amp;$B465&amp;" plus "&amp;$B466&amp;" plus "&amp;$B467&amp;" For age "&amp;$V$20&amp;" "&amp;$V$21&amp;" should be equal to "&amp;$B463&amp;""&amp;CHAR(10),""),IF((W464+W465+W466+W467)&lt;&gt;W463," * "&amp;$A463&amp;" , "&amp;$B464&amp;" plus "&amp;$B465&amp;" plus "&amp;$B466&amp;" plus "&amp;$B467&amp;" For age "&amp;$V$20&amp;" "&amp;$W$21&amp;" should be equal to "&amp;$B463&amp;""&amp;CHAR(10),""),IF((X464+X465+X466+X467)&lt;&gt;X463," * "&amp;$A463&amp;" , "&amp;$B464&amp;" plus "&amp;$B465&amp;" plus "&amp;$B466&amp;" plus "&amp;$B467&amp;" For age "&amp;$X$20&amp;" "&amp;$X$21&amp;" should be equal to "&amp;$B463&amp;""&amp;CHAR(10),""),IF((Y464+Y465+Y466+Y467)&lt;&gt;Y463," * "&amp;$A463&amp;" , "&amp;$B464&amp;" plus "&amp;$B465&amp;" plus "&amp;$B466&amp;" plus "&amp;$B467&amp;" For age "&amp;$X$20&amp;" "&amp;$Y$21&amp;" should be equal to "&amp;$B463&amp;""&amp;CHAR(10),""),IF((Z464+Z465+Z466+Z467)&lt;&gt;Z463," * "&amp;$A463&amp;" , "&amp;$B464&amp;" plus "&amp;$B465&amp;" plus "&amp;$B466&amp;" plus "&amp;$B467&amp;" For age "&amp;$Z$20&amp;" "&amp;$Z$21&amp;" should be equal to "&amp;$B463&amp;""&amp;CHAR(10),""),IF((AA464+AA465+AA466+AA467)&lt;&gt;AA463," * "&amp;$A463&amp;" , "&amp;$B464&amp;" plus "&amp;$B465&amp;" plus "&amp;$B466&amp;" plus "&amp;$B467&amp;" For age "&amp;$Z$20&amp;" "&amp;$AA$21&amp;" should be equal to "&amp;$B463&amp;""&amp;CHAR(10),""))</f>
        <v/>
      </c>
      <c r="AL463" s="1150"/>
      <c r="AM463" s="31"/>
      <c r="AN463" s="793"/>
      <c r="AO463" s="13">
        <v>31</v>
      </c>
      <c r="AP463" s="81"/>
      <c r="AQ463" s="82"/>
    </row>
    <row r="464" spans="1:43" s="83" customFormat="1" ht="26.25" x14ac:dyDescent="0.4">
      <c r="A464" s="1400"/>
      <c r="B464" s="736" t="s">
        <v>1075</v>
      </c>
      <c r="C464" s="740" t="s">
        <v>1087</v>
      </c>
      <c r="D464" s="625"/>
      <c r="E464" s="751"/>
      <c r="F464" s="550"/>
      <c r="G464" s="547"/>
      <c r="H464" s="547"/>
      <c r="I464" s="547"/>
      <c r="J464" s="547"/>
      <c r="K464" s="547"/>
      <c r="L464" s="547"/>
      <c r="M464" s="547"/>
      <c r="N464" s="547"/>
      <c r="O464" s="547"/>
      <c r="P464" s="547"/>
      <c r="Q464" s="547"/>
      <c r="R464" s="547"/>
      <c r="S464" s="547"/>
      <c r="T464" s="547"/>
      <c r="U464" s="547"/>
      <c r="V464" s="547"/>
      <c r="W464" s="547"/>
      <c r="X464" s="547"/>
      <c r="Y464" s="547"/>
      <c r="Z464" s="489">
        <f t="shared" ref="Z464:Z467" si="235">SUM(AB464,AD464,AF464,AH464)</f>
        <v>0</v>
      </c>
      <c r="AA464" s="489">
        <f t="shared" ref="AA464:AA467" si="236">SUM(AC464,AE464,AG464,AI464)</f>
        <v>0</v>
      </c>
      <c r="AB464" s="547"/>
      <c r="AC464" s="547"/>
      <c r="AD464" s="547"/>
      <c r="AE464" s="547"/>
      <c r="AF464" s="547"/>
      <c r="AG464" s="547"/>
      <c r="AH464" s="547"/>
      <c r="AI464" s="547"/>
      <c r="AJ464" s="478">
        <f t="shared" si="230"/>
        <v>0</v>
      </c>
      <c r="AK464" s="1216"/>
      <c r="AL464" s="1150"/>
      <c r="AM464" s="31" t="str">
        <f>CONCATENATE(IF(AND(IFERROR((AJ465*100)/AJ464,0)&gt;10,AJ465&gt;5)," * This facility has a high positivity rate for Index Testing. Kindly confirm if this is the true reflection"&amp;CHAR(10),""),"")</f>
        <v/>
      </c>
      <c r="AN464" s="793"/>
      <c r="AO464" s="13">
        <v>32</v>
      </c>
      <c r="AP464" s="81"/>
      <c r="AQ464" s="82"/>
    </row>
    <row r="465" spans="1:43" s="83" customFormat="1" ht="26.25" x14ac:dyDescent="0.4">
      <c r="A465" s="1400"/>
      <c r="B465" s="736" t="s">
        <v>1056</v>
      </c>
      <c r="C465" s="740" t="s">
        <v>1088</v>
      </c>
      <c r="D465" s="724"/>
      <c r="E465" s="752"/>
      <c r="F465" s="551"/>
      <c r="G465" s="481"/>
      <c r="H465" s="481"/>
      <c r="I465" s="481"/>
      <c r="J465" s="481"/>
      <c r="K465" s="481"/>
      <c r="L465" s="481"/>
      <c r="M465" s="481"/>
      <c r="N465" s="481"/>
      <c r="O465" s="481"/>
      <c r="P465" s="481"/>
      <c r="Q465" s="481"/>
      <c r="R465" s="481"/>
      <c r="S465" s="481"/>
      <c r="T465" s="481"/>
      <c r="U465" s="481"/>
      <c r="V465" s="481"/>
      <c r="W465" s="481"/>
      <c r="X465" s="481"/>
      <c r="Y465" s="481"/>
      <c r="Z465" s="489">
        <f t="shared" si="235"/>
        <v>0</v>
      </c>
      <c r="AA465" s="489">
        <f t="shared" si="236"/>
        <v>0</v>
      </c>
      <c r="AB465" s="481"/>
      <c r="AC465" s="481"/>
      <c r="AD465" s="481"/>
      <c r="AE465" s="481"/>
      <c r="AF465" s="481"/>
      <c r="AG465" s="481"/>
      <c r="AH465" s="481"/>
      <c r="AI465" s="481"/>
      <c r="AJ465" s="479">
        <f t="shared" si="230"/>
        <v>0</v>
      </c>
      <c r="AK465" s="1216"/>
      <c r="AL465" s="1150"/>
      <c r="AM465" s="31" t="e">
        <f>CONCATENATE(IF(D464&gt;0," * F01-12 for Age "&amp;D451&amp;" "&amp;D452&amp;" has a value greater than 0"&amp;CHAR(10),""),IF(E464&gt;0," * F01-12 for Age "&amp;D451&amp;" "&amp;E452&amp;" has a value greater than 0"&amp;CHAR(10),""),IF(D465&gt;0," * F01-13 for Age "&amp;D451&amp;" "&amp;D452&amp;" has a value greater than 0"&amp;CHAR(10),""),IF(E465&gt;0," * F01-13 for Age "&amp;D451&amp;" "&amp;E452&amp;" has a value greater than 0"&amp;CHAR(10),""),IF(#REF!&gt;0," * F01-14 for Age "&amp;D451&amp;" "&amp;D452&amp;" has a value greater than 0"&amp;CHAR(10),""),IF(#REF!&gt;0," * F01-14 for Age "&amp;D451&amp;" "&amp;E452&amp;" has a value greater than 0"&amp;CHAR(10),""),IF(D528&gt;0," * F01-15 for Age "&amp;D451&amp;" "&amp;D452&amp;" has a value greater than 0"&amp;CHAR(10),""),IF(E528&gt;0," * F01-15 for Age "&amp;D451&amp;" "&amp;E452&amp;" has a value greater than 0"&amp;CHAR(10),""),IF(D533&gt;0," * F01-20 for Age "&amp;D451&amp;" "&amp;D452&amp;" has a value greater than 0"&amp;CHAR(10),""),IF(E533&gt;0," * F01-20 for Age "&amp;D451&amp;" "&amp;E452&amp;" has a value greater than 0"&amp;CHAR(10),""),IF(D534&gt;0," * F01-21 for Age "&amp;D451&amp;" "&amp;D452&amp;" has a value greater than 0"&amp;CHAR(10),""),IF(E534&gt;0," * F01-21 for Age "&amp;D451&amp;" "&amp;E452&amp;" has a value greater than 0"&amp;CHAR(10),""),IF(D535&gt;0," * F01-22 for Age "&amp;D451&amp;" "&amp;D452&amp;" has a value greater than 0"&amp;CHAR(10),""),IF(E535&gt;0," * F01-22 for Age "&amp;D451&amp;" "&amp;E452&amp;" has a value greater than 0"&amp;CHAR(10),""),IF(D536&gt;0," * F01-23 for Age "&amp;D451&amp;" "&amp;D452&amp;" has a value greater than 0"&amp;CHAR(10),""),IF(E536&gt;0," * F01-23 for Age "&amp;D451&amp;" "&amp;E452&amp;" has a value greater than 0"&amp;CHAR(10),""),"")</f>
        <v>#REF!</v>
      </c>
      <c r="AN465" s="793"/>
      <c r="AO465" s="13">
        <v>33</v>
      </c>
      <c r="AP465" s="81"/>
      <c r="AQ465" s="82"/>
    </row>
    <row r="466" spans="1:43" s="83" customFormat="1" ht="26.25" x14ac:dyDescent="0.4">
      <c r="A466" s="1400"/>
      <c r="B466" s="736" t="s">
        <v>1058</v>
      </c>
      <c r="C466" s="740" t="s">
        <v>1089</v>
      </c>
      <c r="D466" s="724"/>
      <c r="E466" s="752"/>
      <c r="F466" s="552"/>
      <c r="G466" s="488"/>
      <c r="H466" s="488"/>
      <c r="I466" s="488"/>
      <c r="J466" s="488"/>
      <c r="K466" s="488"/>
      <c r="L466" s="488"/>
      <c r="M466" s="488"/>
      <c r="N466" s="488"/>
      <c r="O466" s="488"/>
      <c r="P466" s="488"/>
      <c r="Q466" s="488"/>
      <c r="R466" s="488"/>
      <c r="S466" s="488"/>
      <c r="T466" s="488"/>
      <c r="U466" s="488"/>
      <c r="V466" s="488"/>
      <c r="W466" s="488"/>
      <c r="X466" s="488"/>
      <c r="Y466" s="488"/>
      <c r="Z466" s="489">
        <f t="shared" si="235"/>
        <v>0</v>
      </c>
      <c r="AA466" s="489">
        <f t="shared" si="236"/>
        <v>0</v>
      </c>
      <c r="AB466" s="488"/>
      <c r="AC466" s="488"/>
      <c r="AD466" s="488"/>
      <c r="AE466" s="488"/>
      <c r="AF466" s="488"/>
      <c r="AG466" s="488"/>
      <c r="AH466" s="488"/>
      <c r="AI466" s="488"/>
      <c r="AJ466" s="479">
        <f t="shared" si="230"/>
        <v>0</v>
      </c>
      <c r="AK466" s="470"/>
      <c r="AL466" s="1150"/>
      <c r="AM466" s="31" t="str">
        <f>CONCATENATE(IF(D465&gt;0," * F01-12 for Age "&amp;D452&amp;" "&amp;D453&amp;" has a value greater than 0"&amp;CHAR(10),""),IF(E465&gt;0," * F01-12 for Age "&amp;D452&amp;" "&amp;E453&amp;" has a value greater than 0"&amp;CHAR(10),""),IF(D466&gt;0," * F01-13 for Age "&amp;D452&amp;" "&amp;D453&amp;" has a value greater than 0"&amp;CHAR(10),""),IF(E466&gt;0," * F01-13 for Age "&amp;D452&amp;" "&amp;E453&amp;" has a value greater than 0"&amp;CHAR(10),""),IF(D528&gt;0," * F01-14 for Age "&amp;D452&amp;" "&amp;D453&amp;" has a value greater than 0"&amp;CHAR(10),""),IF(E528&gt;0," * F01-14 for Age "&amp;D452&amp;" "&amp;E453&amp;" has a value greater than 0"&amp;CHAR(10),""),IF(D529&gt;0," * F01-15 for Age "&amp;D452&amp;" "&amp;D453&amp;" has a value greater than 0"&amp;CHAR(10),""),IF(E529&gt;0," * F01-15 for Age "&amp;D452&amp;" "&amp;E453&amp;" has a value greater than 0"&amp;CHAR(10),""),IF(D534&gt;0," * F01-20 for Age "&amp;D452&amp;" "&amp;D453&amp;" has a value greater than 0"&amp;CHAR(10),""),IF(E534&gt;0," * F01-20 for Age "&amp;D452&amp;" "&amp;E453&amp;" has a value greater than 0"&amp;CHAR(10),""),IF(D535&gt;0," * F01-21 for Age "&amp;D452&amp;" "&amp;D453&amp;" has a value greater than 0"&amp;CHAR(10),""),IF(E535&gt;0," * F01-21 for Age "&amp;D452&amp;" "&amp;E453&amp;" has a value greater than 0"&amp;CHAR(10),""),IF(D536&gt;0," * F01-22 for Age "&amp;D452&amp;" "&amp;D453&amp;" has a value greater than 0"&amp;CHAR(10),""),IF(E536&gt;0," * F01-22 for Age "&amp;D452&amp;" "&amp;E453&amp;" has a value greater than 0"&amp;CHAR(10),""),IF(D537&gt;0," * F01-23 for Age "&amp;D452&amp;" "&amp;D453&amp;" has a value greater than 0"&amp;CHAR(10),""),IF(E537&gt;0," * F01-23 for Age "&amp;D452&amp;" "&amp;E453&amp;" has a value greater than 0"&amp;CHAR(10),""),"")</f>
        <v/>
      </c>
      <c r="AN466" s="793"/>
      <c r="AO466" s="13">
        <v>33</v>
      </c>
      <c r="AP466" s="81"/>
      <c r="AQ466" s="82"/>
    </row>
    <row r="467" spans="1:43" s="83" customFormat="1" ht="27" thickBot="1" x14ac:dyDescent="0.45">
      <c r="A467" s="1401"/>
      <c r="B467" s="737" t="s">
        <v>1060</v>
      </c>
      <c r="C467" s="741" t="s">
        <v>1090</v>
      </c>
      <c r="D467" s="725"/>
      <c r="E467" s="753"/>
      <c r="F467" s="553"/>
      <c r="G467" s="549"/>
      <c r="H467" s="549"/>
      <c r="I467" s="549"/>
      <c r="J467" s="549"/>
      <c r="K467" s="549"/>
      <c r="L467" s="549"/>
      <c r="M467" s="549"/>
      <c r="N467" s="549"/>
      <c r="O467" s="549"/>
      <c r="P467" s="549"/>
      <c r="Q467" s="549"/>
      <c r="R467" s="549"/>
      <c r="S467" s="549"/>
      <c r="T467" s="549"/>
      <c r="U467" s="549"/>
      <c r="V467" s="549"/>
      <c r="W467" s="549"/>
      <c r="X467" s="549"/>
      <c r="Y467" s="549"/>
      <c r="Z467" s="489">
        <f t="shared" si="235"/>
        <v>0</v>
      </c>
      <c r="AA467" s="489">
        <f t="shared" si="236"/>
        <v>0</v>
      </c>
      <c r="AB467" s="549"/>
      <c r="AC467" s="549"/>
      <c r="AD467" s="549"/>
      <c r="AE467" s="549"/>
      <c r="AF467" s="549"/>
      <c r="AG467" s="549"/>
      <c r="AH467" s="549"/>
      <c r="AI467" s="549"/>
      <c r="AJ467" s="480">
        <f t="shared" si="230"/>
        <v>0</v>
      </c>
      <c r="AK467" s="470"/>
      <c r="AL467" s="1150"/>
      <c r="AM467" s="31" t="str">
        <f>CONCATENATE(IF(D466&gt;0," * F01-12 for Age "&amp;D453&amp;" "&amp;D454&amp;" has a value greater than 0"&amp;CHAR(10),""),IF(E466&gt;0," * F01-12 for Age "&amp;D453&amp;" "&amp;E454&amp;" has a value greater than 0"&amp;CHAR(10),""),IF(D467&gt;0," * F01-13 for Age "&amp;D453&amp;" "&amp;D454&amp;" has a value greater than 0"&amp;CHAR(10),""),IF(E467&gt;0," * F01-13 for Age "&amp;D453&amp;" "&amp;E454&amp;" has a value greater than 0"&amp;CHAR(10),""),IF(D529&gt;0," * F01-14 for Age "&amp;D453&amp;" "&amp;D454&amp;" has a value greater than 0"&amp;CHAR(10),""),IF(E529&gt;0," * F01-14 for Age "&amp;D453&amp;" "&amp;E454&amp;" has a value greater than 0"&amp;CHAR(10),""),IF(D530&gt;0," * F01-15 for Age "&amp;D453&amp;" "&amp;D454&amp;" has a value greater than 0"&amp;CHAR(10),""),IF(E530&gt;0," * F01-15 for Age "&amp;D453&amp;" "&amp;E454&amp;" has a value greater than 0"&amp;CHAR(10),""),IF(D535&gt;0," * F01-20 for Age "&amp;D453&amp;" "&amp;D454&amp;" has a value greater than 0"&amp;CHAR(10),""),IF(E535&gt;0," * F01-20 for Age "&amp;D453&amp;" "&amp;E454&amp;" has a value greater than 0"&amp;CHAR(10),""),IF(D536&gt;0," * F01-21 for Age "&amp;D453&amp;" "&amp;D454&amp;" has a value greater than 0"&amp;CHAR(10),""),IF(E536&gt;0," * F01-21 for Age "&amp;D453&amp;" "&amp;E454&amp;" has a value greater than 0"&amp;CHAR(10),""),IF(D537&gt;0," * F01-22 for Age "&amp;D453&amp;" "&amp;D454&amp;" has a value greater than 0"&amp;CHAR(10),""),IF(E537&gt;0," * F01-22 for Age "&amp;D453&amp;" "&amp;E454&amp;" has a value greater than 0"&amp;CHAR(10),""),IF(D538&gt;0," * F01-23 for Age "&amp;D453&amp;" "&amp;D454&amp;" has a value greater than 0"&amp;CHAR(10),""),IF(E538&gt;0," * F01-23 for Age "&amp;D453&amp;" "&amp;E454&amp;" has a value greater than 0"&amp;CHAR(10),""),"")</f>
        <v/>
      </c>
      <c r="AN467" s="793"/>
      <c r="AO467" s="13">
        <v>33</v>
      </c>
      <c r="AP467" s="81"/>
      <c r="AQ467" s="82"/>
    </row>
    <row r="468" spans="1:43" s="83" customFormat="1" ht="27" thickBot="1" x14ac:dyDescent="0.45">
      <c r="A468" s="1399" t="s">
        <v>1077</v>
      </c>
      <c r="B468" s="735" t="s">
        <v>138</v>
      </c>
      <c r="C468" s="739" t="s">
        <v>1091</v>
      </c>
      <c r="D468" s="722"/>
      <c r="E468" s="750"/>
      <c r="F468" s="761">
        <f t="shared" ref="F468:AI468" si="237">F44</f>
        <v>0</v>
      </c>
      <c r="G468" s="487">
        <f t="shared" si="237"/>
        <v>0</v>
      </c>
      <c r="H468" s="487">
        <f t="shared" si="237"/>
        <v>0</v>
      </c>
      <c r="I468" s="487">
        <f t="shared" si="237"/>
        <v>0</v>
      </c>
      <c r="J468" s="487">
        <f t="shared" si="237"/>
        <v>0</v>
      </c>
      <c r="K468" s="487">
        <f t="shared" si="237"/>
        <v>0</v>
      </c>
      <c r="L468" s="487">
        <f t="shared" si="237"/>
        <v>0</v>
      </c>
      <c r="M468" s="487">
        <f t="shared" si="237"/>
        <v>0</v>
      </c>
      <c r="N468" s="487">
        <f t="shared" si="237"/>
        <v>0</v>
      </c>
      <c r="O468" s="487">
        <f t="shared" si="237"/>
        <v>0</v>
      </c>
      <c r="P468" s="487">
        <f t="shared" si="237"/>
        <v>0</v>
      </c>
      <c r="Q468" s="487">
        <f t="shared" si="237"/>
        <v>0</v>
      </c>
      <c r="R468" s="487">
        <f t="shared" si="237"/>
        <v>0</v>
      </c>
      <c r="S468" s="487">
        <f t="shared" si="237"/>
        <v>0</v>
      </c>
      <c r="T468" s="487">
        <f t="shared" si="237"/>
        <v>0</v>
      </c>
      <c r="U468" s="487">
        <f t="shared" si="237"/>
        <v>0</v>
      </c>
      <c r="V468" s="487">
        <f t="shared" si="237"/>
        <v>0</v>
      </c>
      <c r="W468" s="487">
        <f t="shared" si="237"/>
        <v>0</v>
      </c>
      <c r="X468" s="487">
        <f t="shared" si="237"/>
        <v>0</v>
      </c>
      <c r="Y468" s="487">
        <f t="shared" si="237"/>
        <v>0</v>
      </c>
      <c r="Z468" s="487">
        <f t="shared" si="237"/>
        <v>0</v>
      </c>
      <c r="AA468" s="487">
        <f t="shared" si="237"/>
        <v>0</v>
      </c>
      <c r="AB468" s="487">
        <f t="shared" si="237"/>
        <v>0</v>
      </c>
      <c r="AC468" s="487">
        <f t="shared" si="237"/>
        <v>0</v>
      </c>
      <c r="AD468" s="487">
        <f t="shared" si="237"/>
        <v>0</v>
      </c>
      <c r="AE468" s="487">
        <f t="shared" si="237"/>
        <v>0</v>
      </c>
      <c r="AF468" s="487">
        <f t="shared" si="237"/>
        <v>0</v>
      </c>
      <c r="AG468" s="487">
        <f t="shared" si="237"/>
        <v>0</v>
      </c>
      <c r="AH468" s="487">
        <f t="shared" si="237"/>
        <v>0</v>
      </c>
      <c r="AI468" s="487">
        <f t="shared" si="237"/>
        <v>0</v>
      </c>
      <c r="AJ468" s="477">
        <f t="shared" si="230"/>
        <v>0</v>
      </c>
      <c r="AK468" s="545" t="str">
        <f>CONCATENATE(IF((D469+D470+D471+D472)&lt;&gt;D468," * "&amp;$A468&amp;" , "&amp;$B469&amp;" plus "&amp;$B470&amp;" plus "&amp;$B471&amp;" plus "&amp;$B472&amp;" For age "&amp;$D$20&amp;" "&amp;$D$21&amp;" should be equal to "&amp;$B468&amp;""&amp;CHAR(10),""),IF((E469+E470+E471+E472)&lt;&gt;E468," * "&amp;$A468&amp;" , "&amp;$B469&amp;" plus "&amp;$B470&amp;" plus "&amp;$B471&amp;" plus "&amp;$B472&amp;" For age "&amp;$D$20&amp;" "&amp;$E$21&amp;" should be equal to "&amp;$B468&amp;""&amp;CHAR(10),""),IF((F469+F470+F471+F472)&lt;&gt;F468," * "&amp;$A468&amp;" , "&amp;$B469&amp;" plus "&amp;$B470&amp;" plus "&amp;$B471&amp;" plus "&amp;$B472&amp;" For age "&amp;$F$20&amp;" "&amp;$F$21&amp;" should be equal to "&amp;$B468&amp;""&amp;CHAR(10),""),IF((G469+G470+G471+G472)&lt;&gt;G468," * "&amp;$A468&amp;" , "&amp;$B469&amp;" plus "&amp;$B470&amp;" plus "&amp;$B471&amp;" plus "&amp;$B472&amp;" For age "&amp;$F$20&amp;" "&amp;$G$21&amp;" should be equal to "&amp;$B468&amp;""&amp;CHAR(10),""),IF((H469+H470+H471+H472)&lt;&gt;H468," * "&amp;$A468&amp;" , "&amp;$B469&amp;" plus "&amp;$B470&amp;" plus "&amp;$B471&amp;" plus "&amp;$B472&amp;" For age "&amp;$H$20&amp;" "&amp;$H$21&amp;" should be equal to "&amp;$B468&amp;""&amp;CHAR(10),""),IF((I469+I470+I471+I472)&lt;&gt;I468," * "&amp;$A468&amp;" , "&amp;$B469&amp;" plus "&amp;$B470&amp;" plus "&amp;$B471&amp;" plus "&amp;$B472&amp;" For age "&amp;$H$20&amp;" "&amp;$I$21&amp;" should be equal to "&amp;$B468&amp;""&amp;CHAR(10),""),IF((J469+J470+J471+J472)&lt;&gt;J468," * "&amp;$A468&amp;" , "&amp;$B469&amp;" plus "&amp;$B470&amp;" plus "&amp;$B471&amp;" plus "&amp;$B472&amp;" For age "&amp;$J$20&amp;" "&amp;$J$21&amp;" should be equal to "&amp;$B468&amp;""&amp;CHAR(10),""),IF((K469+K470+K471+K472)&lt;&gt;K468," * "&amp;$A468&amp;" , "&amp;$B469&amp;" plus "&amp;$B470&amp;" plus "&amp;$B471&amp;" plus "&amp;$B472&amp;" For age "&amp;$J$20&amp;" "&amp;$K$21&amp;" should be equal to "&amp;$B468&amp;""&amp;CHAR(10),""),IF((L469+L470+L471+L472)&lt;&gt;L468," * "&amp;$A468&amp;" , "&amp;$B469&amp;" plus "&amp;$B470&amp;" plus "&amp;$B471&amp;" plus "&amp;$B472&amp;" For age "&amp;$L$20&amp;" "&amp;$L$21&amp;" should be equal to "&amp;$B468&amp;""&amp;CHAR(10),""),IF((M469+M470+M471+M472)&lt;&gt;M468," * "&amp;$A468&amp;" , "&amp;$B469&amp;" plus "&amp;$B470&amp;" plus "&amp;$B471&amp;" plus "&amp;$B472&amp;" For age "&amp;$L$20&amp;" "&amp;$M$21&amp;" should be equal to "&amp;$B468&amp;""&amp;CHAR(10),""),IF((N469+N470+N471+N472)&lt;&gt;N468," * "&amp;$A468&amp;" , "&amp;$B469&amp;" plus "&amp;$B470&amp;" plus "&amp;$B471&amp;" plus "&amp;$B472&amp;" For age "&amp;$N$20&amp;" "&amp;$N$21&amp;" should be equal to "&amp;$B468&amp;""&amp;CHAR(10),""),IF((O469+O470+O471+O472)&lt;&gt;O468," * "&amp;$A468&amp;" , "&amp;$B469&amp;" plus "&amp;$B470&amp;" plus "&amp;$B471&amp;" plus "&amp;$B472&amp;" For age "&amp;$N$20&amp;" "&amp;$O$21&amp;" should be equal to "&amp;$B468&amp;""&amp;CHAR(10),""),IF((P469+P470+P471+P472)&lt;&gt;P468," * "&amp;$A468&amp;" , "&amp;$B469&amp;" plus "&amp;$B470&amp;" plus "&amp;$B471&amp;" plus "&amp;$B472&amp;" For age "&amp;$P$20&amp;" "&amp;$P$21&amp;" should be equal to "&amp;$B468&amp;""&amp;CHAR(10),""),IF((Q469+Q470+Q471+Q472)&lt;&gt;Q468," * "&amp;$A468&amp;" , "&amp;$B469&amp;" plus "&amp;$B470&amp;" plus "&amp;$B471&amp;" plus "&amp;$B472&amp;" For age "&amp;$P$20&amp;" "&amp;$Q$21&amp;" should be equal to "&amp;$B468&amp;""&amp;CHAR(10),""),IF((R469+R470+R471+R472)&lt;&gt;R468," * "&amp;$A468&amp;" , "&amp;$B469&amp;" plus "&amp;$B470&amp;" plus "&amp;$B471&amp;" plus "&amp;$B472&amp;" For age "&amp;$R$20&amp;" "&amp;$R$21&amp;" should be equal to "&amp;$B468&amp;""&amp;CHAR(10),""),IF((S469+S470+S471+S472)&lt;&gt;S468," * "&amp;$A468&amp;" , "&amp;$B469&amp;" plus "&amp;$B470&amp;" plus "&amp;$B471&amp;" plus "&amp;$B472&amp;" For age "&amp;$R$20&amp;" "&amp;$S$21&amp;" should be equal to "&amp;$B468&amp;""&amp;CHAR(10),""),IF((T469+T470+T471+T472)&lt;&gt;T468," * "&amp;$A468&amp;" , "&amp;$B469&amp;" plus "&amp;$B470&amp;" plus "&amp;$B471&amp;" plus "&amp;$B472&amp;" For age "&amp;$T$20&amp;" "&amp;$T$21&amp;" should be equal to "&amp;$B468&amp;""&amp;CHAR(10),""),IF((U469+U470+U471+U472)&lt;&gt;U468," * "&amp;$A468&amp;" , "&amp;$B469&amp;" plus "&amp;$B470&amp;" plus "&amp;$B471&amp;" plus "&amp;$B472&amp;" For age "&amp;$T$20&amp;" "&amp;$U$21&amp;" should be equal to "&amp;$B468&amp;""&amp;CHAR(10),""),IF((V469+V470+V471+V472)&lt;&gt;V468," * "&amp;$A468&amp;" , "&amp;$B469&amp;" plus "&amp;$B470&amp;" plus "&amp;$B471&amp;" plus "&amp;$B472&amp;" For age "&amp;$V$20&amp;" "&amp;$V$21&amp;" should be equal to "&amp;$B468&amp;""&amp;CHAR(10),""),IF((W469+W470+W471+W472)&lt;&gt;W468," * "&amp;$A468&amp;" , "&amp;$B469&amp;" plus "&amp;$B470&amp;" plus "&amp;$B471&amp;" plus "&amp;$B472&amp;" For age "&amp;$V$20&amp;" "&amp;$W$21&amp;" should be equal to "&amp;$B468&amp;""&amp;CHAR(10),""),IF((X469+X470+X471+X472)&lt;&gt;X468," * "&amp;$A468&amp;" , "&amp;$B469&amp;" plus "&amp;$B470&amp;" plus "&amp;$B471&amp;" plus "&amp;$B472&amp;" For age "&amp;$X$20&amp;" "&amp;$X$21&amp;" should be equal to "&amp;$B468&amp;""&amp;CHAR(10),""),IF((Y469+Y470+Y471+Y472)&lt;&gt;Y468," * "&amp;$A468&amp;" , "&amp;$B469&amp;" plus "&amp;$B470&amp;" plus "&amp;$B471&amp;" plus "&amp;$B472&amp;" For age "&amp;$X$20&amp;" "&amp;$Y$21&amp;" should be equal to "&amp;$B468&amp;""&amp;CHAR(10),""),IF((Z469+Z470+Z471+Z472)&lt;&gt;Z468," * "&amp;$A468&amp;" , "&amp;$B469&amp;" plus "&amp;$B470&amp;" plus "&amp;$B471&amp;" plus "&amp;$B472&amp;" For age "&amp;$Z$20&amp;" "&amp;$Z$21&amp;" should be equal to "&amp;$B468&amp;""&amp;CHAR(10),""),IF((AA469+AA470+AA471+AA472)&lt;&gt;AA468," * "&amp;$A468&amp;" , "&amp;$B469&amp;" plus "&amp;$B470&amp;" plus "&amp;$B471&amp;" plus "&amp;$B472&amp;" For age "&amp;$Z$20&amp;" "&amp;$AA$21&amp;" should be equal to "&amp;$B468&amp;""&amp;CHAR(10),""))</f>
        <v/>
      </c>
      <c r="AL468" s="1150"/>
      <c r="AM468" s="31"/>
      <c r="AN468" s="793"/>
      <c r="AO468" s="13">
        <v>31</v>
      </c>
      <c r="AP468" s="81"/>
      <c r="AQ468" s="82"/>
    </row>
    <row r="469" spans="1:43" s="83" customFormat="1" ht="26.25" x14ac:dyDescent="0.4">
      <c r="A469" s="1400"/>
      <c r="B469" s="736" t="s">
        <v>1075</v>
      </c>
      <c r="C469" s="740" t="s">
        <v>1092</v>
      </c>
      <c r="D469" s="625"/>
      <c r="E469" s="751"/>
      <c r="F469" s="550"/>
      <c r="G469" s="547"/>
      <c r="H469" s="547"/>
      <c r="I469" s="547"/>
      <c r="J469" s="547"/>
      <c r="K469" s="547"/>
      <c r="L469" s="547"/>
      <c r="M469" s="547"/>
      <c r="N469" s="547"/>
      <c r="O469" s="547"/>
      <c r="P469" s="547"/>
      <c r="Q469" s="547"/>
      <c r="R469" s="547"/>
      <c r="S469" s="547"/>
      <c r="T469" s="547"/>
      <c r="U469" s="547"/>
      <c r="V469" s="547"/>
      <c r="W469" s="547"/>
      <c r="X469" s="547"/>
      <c r="Y469" s="547"/>
      <c r="Z469" s="489">
        <f t="shared" ref="Z469:Z472" si="238">SUM(AB469,AD469,AF469,AH469)</f>
        <v>0</v>
      </c>
      <c r="AA469" s="489">
        <f t="shared" ref="AA469:AA472" si="239">SUM(AC469,AE469,AG469,AI469)</f>
        <v>0</v>
      </c>
      <c r="AB469" s="547"/>
      <c r="AC469" s="547"/>
      <c r="AD469" s="547"/>
      <c r="AE469" s="547"/>
      <c r="AF469" s="547"/>
      <c r="AG469" s="547"/>
      <c r="AH469" s="547"/>
      <c r="AI469" s="547"/>
      <c r="AJ469" s="478">
        <f t="shared" si="230"/>
        <v>0</v>
      </c>
      <c r="AK469" s="1216"/>
      <c r="AL469" s="1150"/>
      <c r="AM469" s="31" t="str">
        <f>CONCATENATE(IF(AND(IFERROR((AJ470*100)/AJ469,0)&gt;10,AJ470&gt;5)," * This facility has a high positivity rate for Index Testing. Kindly confirm if this is the true reflection"&amp;CHAR(10),""),"")</f>
        <v/>
      </c>
      <c r="AN469" s="793"/>
      <c r="AO469" s="13">
        <v>32</v>
      </c>
      <c r="AP469" s="81"/>
      <c r="AQ469" s="82"/>
    </row>
    <row r="470" spans="1:43" s="83" customFormat="1" ht="26.25" x14ac:dyDescent="0.4">
      <c r="A470" s="1400"/>
      <c r="B470" s="736" t="s">
        <v>1056</v>
      </c>
      <c r="C470" s="740" t="s">
        <v>1093</v>
      </c>
      <c r="D470" s="724"/>
      <c r="E470" s="752"/>
      <c r="F470" s="551"/>
      <c r="G470" s="481"/>
      <c r="H470" s="481"/>
      <c r="I470" s="481"/>
      <c r="J470" s="481"/>
      <c r="K470" s="481"/>
      <c r="L470" s="481"/>
      <c r="M470" s="481"/>
      <c r="N470" s="481"/>
      <c r="O470" s="481"/>
      <c r="P470" s="481"/>
      <c r="Q470" s="481"/>
      <c r="R470" s="481"/>
      <c r="S470" s="481"/>
      <c r="T470" s="481"/>
      <c r="U470" s="481"/>
      <c r="V470" s="481"/>
      <c r="W470" s="481"/>
      <c r="X470" s="481"/>
      <c r="Y470" s="481"/>
      <c r="Z470" s="489">
        <f t="shared" si="238"/>
        <v>0</v>
      </c>
      <c r="AA470" s="489">
        <f t="shared" si="239"/>
        <v>0</v>
      </c>
      <c r="AB470" s="481"/>
      <c r="AC470" s="481"/>
      <c r="AD470" s="481"/>
      <c r="AE470" s="481"/>
      <c r="AF470" s="481"/>
      <c r="AG470" s="481"/>
      <c r="AH470" s="481"/>
      <c r="AI470" s="481"/>
      <c r="AJ470" s="479">
        <f t="shared" si="230"/>
        <v>0</v>
      </c>
      <c r="AK470" s="1216"/>
      <c r="AL470" s="1150"/>
      <c r="AM470" s="31" t="e">
        <f>CONCATENATE(IF(D469&gt;0," * F01-12 for Age "&amp;D456&amp;" "&amp;D457&amp;" has a value greater than 0"&amp;CHAR(10),""),IF(E469&gt;0," * F01-12 for Age "&amp;D456&amp;" "&amp;E457&amp;" has a value greater than 0"&amp;CHAR(10),""),IF(D470&gt;0," * F01-13 for Age "&amp;D456&amp;" "&amp;D457&amp;" has a value greater than 0"&amp;CHAR(10),""),IF(E470&gt;0," * F01-13 for Age "&amp;D456&amp;" "&amp;E457&amp;" has a value greater than 0"&amp;CHAR(10),""),IF(#REF!&gt;0," * F01-14 for Age "&amp;D456&amp;" "&amp;D457&amp;" has a value greater than 0"&amp;CHAR(10),""),IF(#REF!&gt;0," * F01-14 for Age "&amp;D456&amp;" "&amp;E457&amp;" has a value greater than 0"&amp;CHAR(10),""),IF(D533&gt;0," * F01-15 for Age "&amp;D456&amp;" "&amp;D457&amp;" has a value greater than 0"&amp;CHAR(10),""),IF(E533&gt;0," * F01-15 for Age "&amp;D456&amp;" "&amp;E457&amp;" has a value greater than 0"&amp;CHAR(10),""),IF(D538&gt;0," * F01-20 for Age "&amp;D456&amp;" "&amp;D457&amp;" has a value greater than 0"&amp;CHAR(10),""),IF(E538&gt;0," * F01-20 for Age "&amp;D456&amp;" "&amp;E457&amp;" has a value greater than 0"&amp;CHAR(10),""),IF(D539&gt;0," * F01-21 for Age "&amp;D456&amp;" "&amp;D457&amp;" has a value greater than 0"&amp;CHAR(10),""),IF(E539&gt;0," * F01-21 for Age "&amp;D456&amp;" "&amp;E457&amp;" has a value greater than 0"&amp;CHAR(10),""),IF(D540&gt;0," * F01-22 for Age "&amp;D456&amp;" "&amp;D457&amp;" has a value greater than 0"&amp;CHAR(10),""),IF(E540&gt;0," * F01-22 for Age "&amp;D456&amp;" "&amp;E457&amp;" has a value greater than 0"&amp;CHAR(10),""),IF(D541&gt;0," * F01-23 for Age "&amp;D456&amp;" "&amp;D457&amp;" has a value greater than 0"&amp;CHAR(10),""),IF(E541&gt;0," * F01-23 for Age "&amp;D456&amp;" "&amp;E457&amp;" has a value greater than 0"&amp;CHAR(10),""),"")</f>
        <v>#REF!</v>
      </c>
      <c r="AN470" s="793"/>
      <c r="AO470" s="13">
        <v>33</v>
      </c>
      <c r="AP470" s="81"/>
      <c r="AQ470" s="82"/>
    </row>
    <row r="471" spans="1:43" s="83" customFormat="1" ht="26.25" x14ac:dyDescent="0.4">
      <c r="A471" s="1400"/>
      <c r="B471" s="736" t="s">
        <v>1058</v>
      </c>
      <c r="C471" s="740" t="s">
        <v>1094</v>
      </c>
      <c r="D471" s="724"/>
      <c r="E471" s="752"/>
      <c r="F471" s="552"/>
      <c r="G471" s="488"/>
      <c r="H471" s="488"/>
      <c r="I471" s="488"/>
      <c r="J471" s="488"/>
      <c r="K471" s="488"/>
      <c r="L471" s="488"/>
      <c r="M471" s="488"/>
      <c r="N471" s="488"/>
      <c r="O471" s="488"/>
      <c r="P471" s="488"/>
      <c r="Q471" s="488"/>
      <c r="R471" s="488"/>
      <c r="S471" s="488"/>
      <c r="T471" s="488"/>
      <c r="U471" s="488"/>
      <c r="V471" s="488"/>
      <c r="W471" s="488"/>
      <c r="X471" s="488"/>
      <c r="Y471" s="488"/>
      <c r="Z471" s="489">
        <f t="shared" si="238"/>
        <v>0</v>
      </c>
      <c r="AA471" s="489">
        <f t="shared" si="239"/>
        <v>0</v>
      </c>
      <c r="AB471" s="488"/>
      <c r="AC471" s="488"/>
      <c r="AD471" s="488"/>
      <c r="AE471" s="488"/>
      <c r="AF471" s="488"/>
      <c r="AG471" s="488"/>
      <c r="AH471" s="488"/>
      <c r="AI471" s="488"/>
      <c r="AJ471" s="479">
        <f t="shared" si="230"/>
        <v>0</v>
      </c>
      <c r="AK471" s="470"/>
      <c r="AL471" s="1150"/>
      <c r="AM471" s="31" t="str">
        <f>CONCATENATE(IF(D470&gt;0," * F01-12 for Age "&amp;D457&amp;" "&amp;D458&amp;" has a value greater than 0"&amp;CHAR(10),""),IF(E470&gt;0," * F01-12 for Age "&amp;D457&amp;" "&amp;E458&amp;" has a value greater than 0"&amp;CHAR(10),""),IF(D471&gt;0," * F01-13 for Age "&amp;D457&amp;" "&amp;D458&amp;" has a value greater than 0"&amp;CHAR(10),""),IF(E471&gt;0," * F01-13 for Age "&amp;D457&amp;" "&amp;E458&amp;" has a value greater than 0"&amp;CHAR(10),""),IF(D533&gt;0," * F01-14 for Age "&amp;D457&amp;" "&amp;D458&amp;" has a value greater than 0"&amp;CHAR(10),""),IF(E533&gt;0," * F01-14 for Age "&amp;D457&amp;" "&amp;E458&amp;" has a value greater than 0"&amp;CHAR(10),""),IF(D534&gt;0," * F01-15 for Age "&amp;D457&amp;" "&amp;D458&amp;" has a value greater than 0"&amp;CHAR(10),""),IF(E534&gt;0," * F01-15 for Age "&amp;D457&amp;" "&amp;E458&amp;" has a value greater than 0"&amp;CHAR(10),""),IF(D539&gt;0," * F01-20 for Age "&amp;D457&amp;" "&amp;D458&amp;" has a value greater than 0"&amp;CHAR(10),""),IF(E539&gt;0," * F01-20 for Age "&amp;D457&amp;" "&amp;E458&amp;" has a value greater than 0"&amp;CHAR(10),""),IF(D540&gt;0," * F01-21 for Age "&amp;D457&amp;" "&amp;D458&amp;" has a value greater than 0"&amp;CHAR(10),""),IF(E540&gt;0," * F01-21 for Age "&amp;D457&amp;" "&amp;E458&amp;" has a value greater than 0"&amp;CHAR(10),""),IF(D541&gt;0," * F01-22 for Age "&amp;D457&amp;" "&amp;D458&amp;" has a value greater than 0"&amp;CHAR(10),""),IF(E541&gt;0," * F01-22 for Age "&amp;D457&amp;" "&amp;E458&amp;" has a value greater than 0"&amp;CHAR(10),""),IF(D542&gt;0," * F01-23 for Age "&amp;D457&amp;" "&amp;D458&amp;" has a value greater than 0"&amp;CHAR(10),""),IF(E542&gt;0," * F01-23 for Age "&amp;D457&amp;" "&amp;E458&amp;" has a value greater than 0"&amp;CHAR(10),""),"")</f>
        <v/>
      </c>
      <c r="AN471" s="793"/>
      <c r="AO471" s="13">
        <v>33</v>
      </c>
      <c r="AP471" s="81"/>
      <c r="AQ471" s="82"/>
    </row>
    <row r="472" spans="1:43" s="83" customFormat="1" ht="27" thickBot="1" x14ac:dyDescent="0.45">
      <c r="A472" s="1401"/>
      <c r="B472" s="737" t="s">
        <v>1060</v>
      </c>
      <c r="C472" s="741" t="s">
        <v>1095</v>
      </c>
      <c r="D472" s="725"/>
      <c r="E472" s="753"/>
      <c r="F472" s="553"/>
      <c r="G472" s="549"/>
      <c r="H472" s="549"/>
      <c r="I472" s="549"/>
      <c r="J472" s="549"/>
      <c r="K472" s="549"/>
      <c r="L472" s="549"/>
      <c r="M472" s="549"/>
      <c r="N472" s="549"/>
      <c r="O472" s="549"/>
      <c r="P472" s="549"/>
      <c r="Q472" s="549"/>
      <c r="R472" s="549"/>
      <c r="S472" s="549"/>
      <c r="T472" s="549"/>
      <c r="U472" s="549"/>
      <c r="V472" s="549"/>
      <c r="W472" s="549"/>
      <c r="X472" s="549"/>
      <c r="Y472" s="549"/>
      <c r="Z472" s="489">
        <f t="shared" si="238"/>
        <v>0</v>
      </c>
      <c r="AA472" s="489">
        <f t="shared" si="239"/>
        <v>0</v>
      </c>
      <c r="AB472" s="549"/>
      <c r="AC472" s="549"/>
      <c r="AD472" s="549"/>
      <c r="AE472" s="549"/>
      <c r="AF472" s="549"/>
      <c r="AG472" s="549"/>
      <c r="AH472" s="549"/>
      <c r="AI472" s="549"/>
      <c r="AJ472" s="480">
        <f t="shared" si="230"/>
        <v>0</v>
      </c>
      <c r="AK472" s="470"/>
      <c r="AL472" s="1150"/>
      <c r="AM472" s="31" t="str">
        <f>CONCATENATE(IF(D471&gt;0," * F01-12 for Age "&amp;D458&amp;" "&amp;D459&amp;" has a value greater than 0"&amp;CHAR(10),""),IF(E471&gt;0," * F01-12 for Age "&amp;D458&amp;" "&amp;E459&amp;" has a value greater than 0"&amp;CHAR(10),""),IF(D472&gt;0," * F01-13 for Age "&amp;D458&amp;" "&amp;D459&amp;" has a value greater than 0"&amp;CHAR(10),""),IF(E472&gt;0," * F01-13 for Age "&amp;D458&amp;" "&amp;E459&amp;" has a value greater than 0"&amp;CHAR(10),""),IF(D534&gt;0," * F01-14 for Age "&amp;D458&amp;" "&amp;D459&amp;" has a value greater than 0"&amp;CHAR(10),""),IF(E534&gt;0," * F01-14 for Age "&amp;D458&amp;" "&amp;E459&amp;" has a value greater than 0"&amp;CHAR(10),""),IF(D535&gt;0," * F01-15 for Age "&amp;D458&amp;" "&amp;D459&amp;" has a value greater than 0"&amp;CHAR(10),""),IF(E535&gt;0," * F01-15 for Age "&amp;D458&amp;" "&amp;E459&amp;" has a value greater than 0"&amp;CHAR(10),""),IF(D540&gt;0," * F01-20 for Age "&amp;D458&amp;" "&amp;D459&amp;" has a value greater than 0"&amp;CHAR(10),""),IF(E540&gt;0," * F01-20 for Age "&amp;D458&amp;" "&amp;E459&amp;" has a value greater than 0"&amp;CHAR(10),""),IF(D541&gt;0," * F01-21 for Age "&amp;D458&amp;" "&amp;D459&amp;" has a value greater than 0"&amp;CHAR(10),""),IF(E541&gt;0," * F01-21 for Age "&amp;D458&amp;" "&amp;E459&amp;" has a value greater than 0"&amp;CHAR(10),""),IF(D542&gt;0," * F01-22 for Age "&amp;D458&amp;" "&amp;D459&amp;" has a value greater than 0"&amp;CHAR(10),""),IF(E542&gt;0," * F01-22 for Age "&amp;D458&amp;" "&amp;E459&amp;" has a value greater than 0"&amp;CHAR(10),""),IF(D543&gt;0," * F01-23 for Age "&amp;D458&amp;" "&amp;D459&amp;" has a value greater than 0"&amp;CHAR(10),""),IF(E543&gt;0," * F01-23 for Age "&amp;D458&amp;" "&amp;E459&amp;" has a value greater than 0"&amp;CHAR(10),""),"")</f>
        <v/>
      </c>
      <c r="AN472" s="793"/>
      <c r="AO472" s="13">
        <v>33</v>
      </c>
      <c r="AP472" s="81"/>
      <c r="AQ472" s="82"/>
    </row>
    <row r="473" spans="1:43" s="83" customFormat="1" ht="27" thickBot="1" x14ac:dyDescent="0.45">
      <c r="A473" s="1399" t="s">
        <v>22</v>
      </c>
      <c r="B473" s="735" t="s">
        <v>138</v>
      </c>
      <c r="C473" s="739" t="s">
        <v>1096</v>
      </c>
      <c r="D473" s="722"/>
      <c r="E473" s="750"/>
      <c r="F473" s="761">
        <f t="shared" ref="F473:AI473" si="240">F46</f>
        <v>0</v>
      </c>
      <c r="G473" s="487">
        <f t="shared" si="240"/>
        <v>0</v>
      </c>
      <c r="H473" s="487">
        <f t="shared" si="240"/>
        <v>0</v>
      </c>
      <c r="I473" s="487">
        <f t="shared" si="240"/>
        <v>0</v>
      </c>
      <c r="J473" s="487">
        <f t="shared" si="240"/>
        <v>0</v>
      </c>
      <c r="K473" s="487">
        <f t="shared" si="240"/>
        <v>0</v>
      </c>
      <c r="L473" s="487">
        <f t="shared" si="240"/>
        <v>0</v>
      </c>
      <c r="M473" s="487">
        <f t="shared" si="240"/>
        <v>0</v>
      </c>
      <c r="N473" s="487">
        <f t="shared" si="240"/>
        <v>0</v>
      </c>
      <c r="O473" s="487">
        <f t="shared" si="240"/>
        <v>0</v>
      </c>
      <c r="P473" s="487">
        <f t="shared" si="240"/>
        <v>0</v>
      </c>
      <c r="Q473" s="487">
        <f t="shared" si="240"/>
        <v>0</v>
      </c>
      <c r="R473" s="487">
        <f t="shared" si="240"/>
        <v>0</v>
      </c>
      <c r="S473" s="487">
        <f t="shared" si="240"/>
        <v>0</v>
      </c>
      <c r="T473" s="487">
        <f t="shared" si="240"/>
        <v>0</v>
      </c>
      <c r="U473" s="487">
        <f t="shared" si="240"/>
        <v>0</v>
      </c>
      <c r="V473" s="487">
        <f t="shared" si="240"/>
        <v>0</v>
      </c>
      <c r="W473" s="487">
        <f t="shared" si="240"/>
        <v>0</v>
      </c>
      <c r="X473" s="487">
        <f t="shared" si="240"/>
        <v>0</v>
      </c>
      <c r="Y473" s="487">
        <f t="shared" si="240"/>
        <v>0</v>
      </c>
      <c r="Z473" s="487">
        <f t="shared" si="240"/>
        <v>0</v>
      </c>
      <c r="AA473" s="487">
        <f t="shared" si="240"/>
        <v>0</v>
      </c>
      <c r="AB473" s="487">
        <f t="shared" si="240"/>
        <v>0</v>
      </c>
      <c r="AC473" s="487">
        <f t="shared" si="240"/>
        <v>0</v>
      </c>
      <c r="AD473" s="487">
        <f t="shared" si="240"/>
        <v>0</v>
      </c>
      <c r="AE473" s="487">
        <f t="shared" si="240"/>
        <v>0</v>
      </c>
      <c r="AF473" s="487">
        <f t="shared" si="240"/>
        <v>0</v>
      </c>
      <c r="AG473" s="487">
        <f t="shared" si="240"/>
        <v>0</v>
      </c>
      <c r="AH473" s="487">
        <f t="shared" si="240"/>
        <v>0</v>
      </c>
      <c r="AI473" s="487">
        <f t="shared" si="240"/>
        <v>0</v>
      </c>
      <c r="AJ473" s="477">
        <f t="shared" si="230"/>
        <v>0</v>
      </c>
      <c r="AK473" s="545" t="str">
        <f>CONCATENATE(IF((D474+D475+D476+D477)&lt;&gt;D473," * "&amp;$A473&amp;" , "&amp;$B474&amp;" plus "&amp;$B475&amp;" plus "&amp;$B476&amp;" plus "&amp;$B477&amp;" For age "&amp;$D$20&amp;" "&amp;$D$21&amp;" should be equal to "&amp;$B473&amp;""&amp;CHAR(10),""),IF((E474+E475+E476+E477)&lt;&gt;E473," * "&amp;$A473&amp;" , "&amp;$B474&amp;" plus "&amp;$B475&amp;" plus "&amp;$B476&amp;" plus "&amp;$B477&amp;" For age "&amp;$D$20&amp;" "&amp;$E$21&amp;" should be equal to "&amp;$B473&amp;""&amp;CHAR(10),""),IF((F474+F475+F476+F477)&lt;&gt;F473," * "&amp;$A473&amp;" , "&amp;$B474&amp;" plus "&amp;$B475&amp;" plus "&amp;$B476&amp;" plus "&amp;$B477&amp;" For age "&amp;$F$20&amp;" "&amp;$F$21&amp;" should be equal to "&amp;$B473&amp;""&amp;CHAR(10),""),IF((G474+G475+G476+G477)&lt;&gt;G473," * "&amp;$A473&amp;" , "&amp;$B474&amp;" plus "&amp;$B475&amp;" plus "&amp;$B476&amp;" plus "&amp;$B477&amp;" For age "&amp;$F$20&amp;" "&amp;$G$21&amp;" should be equal to "&amp;$B473&amp;""&amp;CHAR(10),""),IF((H474+H475+H476+H477)&lt;&gt;H473," * "&amp;$A473&amp;" , "&amp;$B474&amp;" plus "&amp;$B475&amp;" plus "&amp;$B476&amp;" plus "&amp;$B477&amp;" For age "&amp;$H$20&amp;" "&amp;$H$21&amp;" should be equal to "&amp;$B473&amp;""&amp;CHAR(10),""),IF((I474+I475+I476+I477)&lt;&gt;I473," * "&amp;$A473&amp;" , "&amp;$B474&amp;" plus "&amp;$B475&amp;" plus "&amp;$B476&amp;" plus "&amp;$B477&amp;" For age "&amp;$H$20&amp;" "&amp;$I$21&amp;" should be equal to "&amp;$B473&amp;""&amp;CHAR(10),""),IF((J474+J475+J476+J477)&lt;&gt;J473," * "&amp;$A473&amp;" , "&amp;$B474&amp;" plus "&amp;$B475&amp;" plus "&amp;$B476&amp;" plus "&amp;$B477&amp;" For age "&amp;$J$20&amp;" "&amp;$J$21&amp;" should be equal to "&amp;$B473&amp;""&amp;CHAR(10),""),IF((K474+K475+K476+K477)&lt;&gt;K473," * "&amp;$A473&amp;" , "&amp;$B474&amp;" plus "&amp;$B475&amp;" plus "&amp;$B476&amp;" plus "&amp;$B477&amp;" For age "&amp;$J$20&amp;" "&amp;$K$21&amp;" should be equal to "&amp;$B473&amp;""&amp;CHAR(10),""),IF((L474+L475+L476+L477)&lt;&gt;L473," * "&amp;$A473&amp;" , "&amp;$B474&amp;" plus "&amp;$B475&amp;" plus "&amp;$B476&amp;" plus "&amp;$B477&amp;" For age "&amp;$L$20&amp;" "&amp;$L$21&amp;" should be equal to "&amp;$B473&amp;""&amp;CHAR(10),""),IF((M474+M475+M476+M477)&lt;&gt;M473," * "&amp;$A473&amp;" , "&amp;$B474&amp;" plus "&amp;$B475&amp;" plus "&amp;$B476&amp;" plus "&amp;$B477&amp;" For age "&amp;$L$20&amp;" "&amp;$M$21&amp;" should be equal to "&amp;$B473&amp;""&amp;CHAR(10),""),IF((N474+N475+N476+N477)&lt;&gt;N473," * "&amp;$A473&amp;" , "&amp;$B474&amp;" plus "&amp;$B475&amp;" plus "&amp;$B476&amp;" plus "&amp;$B477&amp;" For age "&amp;$N$20&amp;" "&amp;$N$21&amp;" should be equal to "&amp;$B473&amp;""&amp;CHAR(10),""),IF((O474+O475+O476+O477)&lt;&gt;O473," * "&amp;$A473&amp;" , "&amp;$B474&amp;" plus "&amp;$B475&amp;" plus "&amp;$B476&amp;" plus "&amp;$B477&amp;" For age "&amp;$N$20&amp;" "&amp;$O$21&amp;" should be equal to "&amp;$B473&amp;""&amp;CHAR(10),""),IF((P474+P475+P476+P477)&lt;&gt;P473," * "&amp;$A473&amp;" , "&amp;$B474&amp;" plus "&amp;$B475&amp;" plus "&amp;$B476&amp;" plus "&amp;$B477&amp;" For age "&amp;$P$20&amp;" "&amp;$P$21&amp;" should be equal to "&amp;$B473&amp;""&amp;CHAR(10),""),IF((Q474+Q475+Q476+Q477)&lt;&gt;Q473," * "&amp;$A473&amp;" , "&amp;$B474&amp;" plus "&amp;$B475&amp;" plus "&amp;$B476&amp;" plus "&amp;$B477&amp;" For age "&amp;$P$20&amp;" "&amp;$Q$21&amp;" should be equal to "&amp;$B473&amp;""&amp;CHAR(10),""),IF((R474+R475+R476+R477)&lt;&gt;R473," * "&amp;$A473&amp;" , "&amp;$B474&amp;" plus "&amp;$B475&amp;" plus "&amp;$B476&amp;" plus "&amp;$B477&amp;" For age "&amp;$R$20&amp;" "&amp;$R$21&amp;" should be equal to "&amp;$B473&amp;""&amp;CHAR(10),""),IF((S474+S475+S476+S477)&lt;&gt;S473," * "&amp;$A473&amp;" , "&amp;$B474&amp;" plus "&amp;$B475&amp;" plus "&amp;$B476&amp;" plus "&amp;$B477&amp;" For age "&amp;$R$20&amp;" "&amp;$S$21&amp;" should be equal to "&amp;$B473&amp;""&amp;CHAR(10),""),IF((T474+T475+T476+T477)&lt;&gt;T473," * "&amp;$A473&amp;" , "&amp;$B474&amp;" plus "&amp;$B475&amp;" plus "&amp;$B476&amp;" plus "&amp;$B477&amp;" For age "&amp;$T$20&amp;" "&amp;$T$21&amp;" should be equal to "&amp;$B473&amp;""&amp;CHAR(10),""),IF((U474+U475+U476+U477)&lt;&gt;U473," * "&amp;$A473&amp;" , "&amp;$B474&amp;" plus "&amp;$B475&amp;" plus "&amp;$B476&amp;" plus "&amp;$B477&amp;" For age "&amp;$T$20&amp;" "&amp;$U$21&amp;" should be equal to "&amp;$B473&amp;""&amp;CHAR(10),""),IF((V474+V475+V476+V477)&lt;&gt;V473," * "&amp;$A473&amp;" , "&amp;$B474&amp;" plus "&amp;$B475&amp;" plus "&amp;$B476&amp;" plus "&amp;$B477&amp;" For age "&amp;$V$20&amp;" "&amp;$V$21&amp;" should be equal to "&amp;$B473&amp;""&amp;CHAR(10),""),IF((W474+W475+W476+W477)&lt;&gt;W473," * "&amp;$A473&amp;" , "&amp;$B474&amp;" plus "&amp;$B475&amp;" plus "&amp;$B476&amp;" plus "&amp;$B477&amp;" For age "&amp;$V$20&amp;" "&amp;$W$21&amp;" should be equal to "&amp;$B473&amp;""&amp;CHAR(10),""),IF((X474+X475+X476+X477)&lt;&gt;X473," * "&amp;$A473&amp;" , "&amp;$B474&amp;" plus "&amp;$B475&amp;" plus "&amp;$B476&amp;" plus "&amp;$B477&amp;" For age "&amp;$X$20&amp;" "&amp;$X$21&amp;" should be equal to "&amp;$B473&amp;""&amp;CHAR(10),""),IF((Y474+Y475+Y476+Y477)&lt;&gt;Y473," * "&amp;$A473&amp;" , "&amp;$B474&amp;" plus "&amp;$B475&amp;" plus "&amp;$B476&amp;" plus "&amp;$B477&amp;" For age "&amp;$X$20&amp;" "&amp;$Y$21&amp;" should be equal to "&amp;$B473&amp;""&amp;CHAR(10),""),IF((Z474+Z475+Z476+Z477)&lt;&gt;Z473," * "&amp;$A473&amp;" , "&amp;$B474&amp;" plus "&amp;$B475&amp;" plus "&amp;$B476&amp;" plus "&amp;$B477&amp;" For age "&amp;$Z$20&amp;" "&amp;$Z$21&amp;" should be equal to "&amp;$B473&amp;""&amp;CHAR(10),""),IF((AA474+AA475+AA476+AA477)&lt;&gt;AA473," * "&amp;$A473&amp;" , "&amp;$B474&amp;" plus "&amp;$B475&amp;" plus "&amp;$B476&amp;" plus "&amp;$B477&amp;" For age "&amp;$Z$20&amp;" "&amp;$AA$21&amp;" should be equal to "&amp;$B473&amp;""&amp;CHAR(10),""))</f>
        <v/>
      </c>
      <c r="AL473" s="1150"/>
      <c r="AM473" s="31"/>
      <c r="AN473" s="793"/>
      <c r="AO473" s="13">
        <v>31</v>
      </c>
      <c r="AP473" s="81"/>
      <c r="AQ473" s="82"/>
    </row>
    <row r="474" spans="1:43" s="83" customFormat="1" ht="26.25" x14ac:dyDescent="0.4">
      <c r="A474" s="1400"/>
      <c r="B474" s="736" t="s">
        <v>1075</v>
      </c>
      <c r="C474" s="740" t="s">
        <v>1097</v>
      </c>
      <c r="D474" s="625"/>
      <c r="E474" s="751"/>
      <c r="F474" s="550"/>
      <c r="G474" s="547"/>
      <c r="H474" s="547"/>
      <c r="I474" s="547"/>
      <c r="J474" s="547"/>
      <c r="K474" s="547"/>
      <c r="L474" s="547"/>
      <c r="M474" s="547"/>
      <c r="N474" s="547"/>
      <c r="O474" s="547"/>
      <c r="P474" s="547"/>
      <c r="Q474" s="547"/>
      <c r="R474" s="547"/>
      <c r="S474" s="547"/>
      <c r="T474" s="547"/>
      <c r="U474" s="547"/>
      <c r="V474" s="547"/>
      <c r="W474" s="547"/>
      <c r="X474" s="547"/>
      <c r="Y474" s="547"/>
      <c r="Z474" s="489">
        <f t="shared" ref="Z474:Z477" si="241">SUM(AB474,AD474,AF474,AH474)</f>
        <v>0</v>
      </c>
      <c r="AA474" s="489">
        <f t="shared" ref="AA474:AA477" si="242">SUM(AC474,AE474,AG474,AI474)</f>
        <v>0</v>
      </c>
      <c r="AB474" s="547"/>
      <c r="AC474" s="547"/>
      <c r="AD474" s="547"/>
      <c r="AE474" s="547"/>
      <c r="AF474" s="547"/>
      <c r="AG474" s="547"/>
      <c r="AH474" s="547"/>
      <c r="AI474" s="547"/>
      <c r="AJ474" s="478">
        <f t="shared" si="230"/>
        <v>0</v>
      </c>
      <c r="AK474" s="1216"/>
      <c r="AL474" s="1150"/>
      <c r="AM474" s="31" t="str">
        <f>CONCATENATE(IF(AND(IFERROR((AJ475*100)/AJ474,0)&gt;10,AJ475&gt;5)," * This facility has a high positivity rate for Index Testing. Kindly confirm if this is the true reflection"&amp;CHAR(10),""),"")</f>
        <v/>
      </c>
      <c r="AN474" s="793"/>
      <c r="AO474" s="13">
        <v>32</v>
      </c>
      <c r="AP474" s="81"/>
      <c r="AQ474" s="82"/>
    </row>
    <row r="475" spans="1:43" s="83" customFormat="1" ht="26.25" x14ac:dyDescent="0.4">
      <c r="A475" s="1400"/>
      <c r="B475" s="736" t="s">
        <v>1056</v>
      </c>
      <c r="C475" s="740" t="s">
        <v>1098</v>
      </c>
      <c r="D475" s="724"/>
      <c r="E475" s="752"/>
      <c r="F475" s="551"/>
      <c r="G475" s="481"/>
      <c r="H475" s="481"/>
      <c r="I475" s="481"/>
      <c r="J475" s="481"/>
      <c r="K475" s="481"/>
      <c r="L475" s="481"/>
      <c r="M475" s="481"/>
      <c r="N475" s="481"/>
      <c r="O475" s="481"/>
      <c r="P475" s="481"/>
      <c r="Q475" s="481"/>
      <c r="R475" s="481"/>
      <c r="S475" s="481"/>
      <c r="T475" s="481"/>
      <c r="U475" s="481"/>
      <c r="V475" s="481"/>
      <c r="W475" s="481"/>
      <c r="X475" s="481"/>
      <c r="Y475" s="481"/>
      <c r="Z475" s="489">
        <f t="shared" si="241"/>
        <v>0</v>
      </c>
      <c r="AA475" s="489">
        <f t="shared" si="242"/>
        <v>0</v>
      </c>
      <c r="AB475" s="481"/>
      <c r="AC475" s="481"/>
      <c r="AD475" s="481"/>
      <c r="AE475" s="481"/>
      <c r="AF475" s="481"/>
      <c r="AG475" s="481"/>
      <c r="AH475" s="481"/>
      <c r="AI475" s="481"/>
      <c r="AJ475" s="479">
        <f t="shared" si="230"/>
        <v>0</v>
      </c>
      <c r="AK475" s="1216"/>
      <c r="AL475" s="1150"/>
      <c r="AM475" s="31" t="e">
        <f>CONCATENATE(IF(D474&gt;0," * F01-12 for Age "&amp;D461&amp;" "&amp;D462&amp;" has a value greater than 0"&amp;CHAR(10),""),IF(E474&gt;0," * F01-12 for Age "&amp;D461&amp;" "&amp;E462&amp;" has a value greater than 0"&amp;CHAR(10),""),IF(D475&gt;0," * F01-13 for Age "&amp;D461&amp;" "&amp;D462&amp;" has a value greater than 0"&amp;CHAR(10),""),IF(E475&gt;0," * F01-13 for Age "&amp;D461&amp;" "&amp;E462&amp;" has a value greater than 0"&amp;CHAR(10),""),IF(#REF!&gt;0," * F01-14 for Age "&amp;D461&amp;" "&amp;D462&amp;" has a value greater than 0"&amp;CHAR(10),""),IF(#REF!&gt;0," * F01-14 for Age "&amp;D461&amp;" "&amp;E462&amp;" has a value greater than 0"&amp;CHAR(10),""),IF(D538&gt;0," * F01-15 for Age "&amp;D461&amp;" "&amp;D462&amp;" has a value greater than 0"&amp;CHAR(10),""),IF(E538&gt;0," * F01-15 for Age "&amp;D461&amp;" "&amp;E462&amp;" has a value greater than 0"&amp;CHAR(10),""),IF(D543&gt;0," * F01-20 for Age "&amp;D461&amp;" "&amp;D462&amp;" has a value greater than 0"&amp;CHAR(10),""),IF(E543&gt;0," * F01-20 for Age "&amp;D461&amp;" "&amp;E462&amp;" has a value greater than 0"&amp;CHAR(10),""),IF(D544&gt;0," * F01-21 for Age "&amp;D461&amp;" "&amp;D462&amp;" has a value greater than 0"&amp;CHAR(10),""),IF(E544&gt;0," * F01-21 for Age "&amp;D461&amp;" "&amp;E462&amp;" has a value greater than 0"&amp;CHAR(10),""),IF(D545&gt;0," * F01-22 for Age "&amp;D461&amp;" "&amp;D462&amp;" has a value greater than 0"&amp;CHAR(10),""),IF(E545&gt;0," * F01-22 for Age "&amp;D461&amp;" "&amp;E462&amp;" has a value greater than 0"&amp;CHAR(10),""),IF(D546&gt;0," * F01-23 for Age "&amp;D461&amp;" "&amp;D462&amp;" has a value greater than 0"&amp;CHAR(10),""),IF(E546&gt;0," * F01-23 for Age "&amp;D461&amp;" "&amp;E462&amp;" has a value greater than 0"&amp;CHAR(10),""),"")</f>
        <v>#REF!</v>
      </c>
      <c r="AN475" s="793"/>
      <c r="AO475" s="13">
        <v>33</v>
      </c>
      <c r="AP475" s="81"/>
      <c r="AQ475" s="82"/>
    </row>
    <row r="476" spans="1:43" s="83" customFormat="1" ht="26.25" x14ac:dyDescent="0.4">
      <c r="A476" s="1400"/>
      <c r="B476" s="736" t="s">
        <v>1058</v>
      </c>
      <c r="C476" s="740" t="s">
        <v>1099</v>
      </c>
      <c r="D476" s="724"/>
      <c r="E476" s="752"/>
      <c r="F476" s="552"/>
      <c r="G476" s="488"/>
      <c r="H476" s="488"/>
      <c r="I476" s="488"/>
      <c r="J476" s="488"/>
      <c r="K476" s="488"/>
      <c r="L476" s="488"/>
      <c r="M476" s="488"/>
      <c r="N476" s="488"/>
      <c r="O476" s="488"/>
      <c r="P476" s="488"/>
      <c r="Q476" s="488"/>
      <c r="R476" s="488"/>
      <c r="S476" s="488"/>
      <c r="T476" s="488"/>
      <c r="U476" s="488"/>
      <c r="V476" s="488"/>
      <c r="W476" s="488"/>
      <c r="X476" s="488"/>
      <c r="Y476" s="488"/>
      <c r="Z476" s="489">
        <f t="shared" si="241"/>
        <v>0</v>
      </c>
      <c r="AA476" s="489">
        <f t="shared" si="242"/>
        <v>0</v>
      </c>
      <c r="AB476" s="488"/>
      <c r="AC476" s="488"/>
      <c r="AD476" s="488"/>
      <c r="AE476" s="488"/>
      <c r="AF476" s="488"/>
      <c r="AG476" s="488"/>
      <c r="AH476" s="488"/>
      <c r="AI476" s="488"/>
      <c r="AJ476" s="479">
        <f t="shared" si="230"/>
        <v>0</v>
      </c>
      <c r="AK476" s="470"/>
      <c r="AL476" s="1150"/>
      <c r="AM476" s="31" t="str">
        <f>CONCATENATE(IF(D475&gt;0," * F01-12 for Age "&amp;D462&amp;" "&amp;D463&amp;" has a value greater than 0"&amp;CHAR(10),""),IF(E475&gt;0," * F01-12 for Age "&amp;D462&amp;" "&amp;E463&amp;" has a value greater than 0"&amp;CHAR(10),""),IF(D476&gt;0," * F01-13 for Age "&amp;D462&amp;" "&amp;D463&amp;" has a value greater than 0"&amp;CHAR(10),""),IF(E476&gt;0," * F01-13 for Age "&amp;D462&amp;" "&amp;E463&amp;" has a value greater than 0"&amp;CHAR(10),""),IF(D538&gt;0," * F01-14 for Age "&amp;D462&amp;" "&amp;D463&amp;" has a value greater than 0"&amp;CHAR(10),""),IF(E538&gt;0," * F01-14 for Age "&amp;D462&amp;" "&amp;E463&amp;" has a value greater than 0"&amp;CHAR(10),""),IF(D539&gt;0," * F01-15 for Age "&amp;D462&amp;" "&amp;D463&amp;" has a value greater than 0"&amp;CHAR(10),""),IF(E539&gt;0," * F01-15 for Age "&amp;D462&amp;" "&amp;E463&amp;" has a value greater than 0"&amp;CHAR(10),""),IF(D544&gt;0," * F01-20 for Age "&amp;D462&amp;" "&amp;D463&amp;" has a value greater than 0"&amp;CHAR(10),""),IF(E544&gt;0," * F01-20 for Age "&amp;D462&amp;" "&amp;E463&amp;" has a value greater than 0"&amp;CHAR(10),""),IF(D545&gt;0," * F01-21 for Age "&amp;D462&amp;" "&amp;D463&amp;" has a value greater than 0"&amp;CHAR(10),""),IF(E545&gt;0," * F01-21 for Age "&amp;D462&amp;" "&amp;E463&amp;" has a value greater than 0"&amp;CHAR(10),""),IF(D546&gt;0," * F01-22 for Age "&amp;D462&amp;" "&amp;D463&amp;" has a value greater than 0"&amp;CHAR(10),""),IF(E546&gt;0," * F01-22 for Age "&amp;D462&amp;" "&amp;E463&amp;" has a value greater than 0"&amp;CHAR(10),""),IF(D547&gt;0," * F01-23 for Age "&amp;D462&amp;" "&amp;D463&amp;" has a value greater than 0"&amp;CHAR(10),""),IF(E547&gt;0," * F01-23 for Age "&amp;D462&amp;" "&amp;E463&amp;" has a value greater than 0"&amp;CHAR(10),""),"")</f>
        <v/>
      </c>
      <c r="AN476" s="793"/>
      <c r="AO476" s="13">
        <v>33</v>
      </c>
      <c r="AP476" s="81"/>
      <c r="AQ476" s="82"/>
    </row>
    <row r="477" spans="1:43" s="83" customFormat="1" ht="27" thickBot="1" x14ac:dyDescent="0.45">
      <c r="A477" s="1401"/>
      <c r="B477" s="737" t="s">
        <v>1060</v>
      </c>
      <c r="C477" s="741" t="s">
        <v>1100</v>
      </c>
      <c r="D477" s="725"/>
      <c r="E477" s="753"/>
      <c r="F477" s="757"/>
      <c r="G477" s="715"/>
      <c r="H477" s="715"/>
      <c r="I477" s="715"/>
      <c r="J477" s="715"/>
      <c r="K477" s="715"/>
      <c r="L477" s="715"/>
      <c r="M477" s="715"/>
      <c r="N477" s="715"/>
      <c r="O477" s="715"/>
      <c r="P477" s="715"/>
      <c r="Q477" s="715"/>
      <c r="R477" s="715"/>
      <c r="S477" s="715"/>
      <c r="T477" s="715"/>
      <c r="U477" s="715"/>
      <c r="V477" s="715"/>
      <c r="W477" s="715"/>
      <c r="X477" s="715"/>
      <c r="Y477" s="715"/>
      <c r="Z477" s="489">
        <f t="shared" si="241"/>
        <v>0</v>
      </c>
      <c r="AA477" s="489">
        <f t="shared" si="242"/>
        <v>0</v>
      </c>
      <c r="AB477" s="715"/>
      <c r="AC477" s="715"/>
      <c r="AD477" s="715"/>
      <c r="AE477" s="715"/>
      <c r="AF477" s="715"/>
      <c r="AG477" s="715"/>
      <c r="AH477" s="715"/>
      <c r="AI477" s="715"/>
      <c r="AJ477" s="480">
        <f t="shared" ref="AJ477:AJ496" si="243">SUM(D477:AA477)</f>
        <v>0</v>
      </c>
      <c r="AK477" s="470"/>
      <c r="AL477" s="1150"/>
      <c r="AM477" s="31" t="str">
        <f>CONCATENATE(IF(D476&gt;0," * F01-12 for Age "&amp;D463&amp;" "&amp;D464&amp;" has a value greater than 0"&amp;CHAR(10),""),IF(E476&gt;0," * F01-12 for Age "&amp;D463&amp;" "&amp;E464&amp;" has a value greater than 0"&amp;CHAR(10),""),IF(D477&gt;0," * F01-13 for Age "&amp;D463&amp;" "&amp;D464&amp;" has a value greater than 0"&amp;CHAR(10),""),IF(E477&gt;0," * F01-13 for Age "&amp;D463&amp;" "&amp;E464&amp;" has a value greater than 0"&amp;CHAR(10),""),IF(D539&gt;0," * F01-14 for Age "&amp;D463&amp;" "&amp;D464&amp;" has a value greater than 0"&amp;CHAR(10),""),IF(E539&gt;0," * F01-14 for Age "&amp;D463&amp;" "&amp;E464&amp;" has a value greater than 0"&amp;CHAR(10),""),IF(D540&gt;0," * F01-15 for Age "&amp;D463&amp;" "&amp;D464&amp;" has a value greater than 0"&amp;CHAR(10),""),IF(E540&gt;0," * F01-15 for Age "&amp;D463&amp;" "&amp;E464&amp;" has a value greater than 0"&amp;CHAR(10),""),IF(D545&gt;0," * F01-20 for Age "&amp;D463&amp;" "&amp;D464&amp;" has a value greater than 0"&amp;CHAR(10),""),IF(E545&gt;0," * F01-20 for Age "&amp;D463&amp;" "&amp;E464&amp;" has a value greater than 0"&amp;CHAR(10),""),IF(D546&gt;0," * F01-21 for Age "&amp;D463&amp;" "&amp;D464&amp;" has a value greater than 0"&amp;CHAR(10),""),IF(E546&gt;0," * F01-21 for Age "&amp;D463&amp;" "&amp;E464&amp;" has a value greater than 0"&amp;CHAR(10),""),IF(D547&gt;0," * F01-22 for Age "&amp;D463&amp;" "&amp;D464&amp;" has a value greater than 0"&amp;CHAR(10),""),IF(E547&gt;0," * F01-22 for Age "&amp;D463&amp;" "&amp;E464&amp;" has a value greater than 0"&amp;CHAR(10),""),IF(D548&gt;0," * F01-23 for Age "&amp;D463&amp;" "&amp;D464&amp;" has a value greater than 0"&amp;CHAR(10),""),IF(E548&gt;0," * F01-23 for Age "&amp;D463&amp;" "&amp;E464&amp;" has a value greater than 0"&amp;CHAR(10),""),"")</f>
        <v/>
      </c>
      <c r="AN477" s="793"/>
      <c r="AO477" s="13">
        <v>33</v>
      </c>
      <c r="AP477" s="81"/>
      <c r="AQ477" s="82"/>
    </row>
    <row r="478" spans="1:43" s="83" customFormat="1" ht="26.25" x14ac:dyDescent="0.4">
      <c r="A478" s="1399" t="s">
        <v>18</v>
      </c>
      <c r="B478" s="735" t="s">
        <v>138</v>
      </c>
      <c r="C478" s="739" t="s">
        <v>1101</v>
      </c>
      <c r="D478" s="722"/>
      <c r="E478" s="750"/>
      <c r="F478" s="734">
        <f t="shared" ref="F478:AI478" si="244">F48</f>
        <v>0</v>
      </c>
      <c r="G478" s="728">
        <f t="shared" si="244"/>
        <v>0</v>
      </c>
      <c r="H478" s="728">
        <f t="shared" si="244"/>
        <v>0</v>
      </c>
      <c r="I478" s="728">
        <f t="shared" si="244"/>
        <v>0</v>
      </c>
      <c r="J478" s="728">
        <f t="shared" si="244"/>
        <v>0</v>
      </c>
      <c r="K478" s="728">
        <f t="shared" si="244"/>
        <v>0</v>
      </c>
      <c r="L478" s="728">
        <f t="shared" si="244"/>
        <v>0</v>
      </c>
      <c r="M478" s="728">
        <f t="shared" si="244"/>
        <v>0</v>
      </c>
      <c r="N478" s="728">
        <f t="shared" si="244"/>
        <v>0</v>
      </c>
      <c r="O478" s="728">
        <f t="shared" si="244"/>
        <v>0</v>
      </c>
      <c r="P478" s="728">
        <f t="shared" si="244"/>
        <v>0</v>
      </c>
      <c r="Q478" s="728">
        <f t="shared" si="244"/>
        <v>0</v>
      </c>
      <c r="R478" s="728">
        <f t="shared" si="244"/>
        <v>0</v>
      </c>
      <c r="S478" s="728">
        <f t="shared" si="244"/>
        <v>0</v>
      </c>
      <c r="T478" s="728">
        <f t="shared" si="244"/>
        <v>0</v>
      </c>
      <c r="U478" s="728">
        <f t="shared" si="244"/>
        <v>0</v>
      </c>
      <c r="V478" s="728">
        <f t="shared" si="244"/>
        <v>0</v>
      </c>
      <c r="W478" s="728">
        <f t="shared" si="244"/>
        <v>0</v>
      </c>
      <c r="X478" s="728">
        <f t="shared" si="244"/>
        <v>0</v>
      </c>
      <c r="Y478" s="728">
        <f t="shared" si="244"/>
        <v>0</v>
      </c>
      <c r="Z478" s="728">
        <f t="shared" si="244"/>
        <v>0</v>
      </c>
      <c r="AA478" s="729">
        <f t="shared" si="244"/>
        <v>0</v>
      </c>
      <c r="AB478" s="728">
        <f t="shared" si="244"/>
        <v>0</v>
      </c>
      <c r="AC478" s="729">
        <f t="shared" si="244"/>
        <v>0</v>
      </c>
      <c r="AD478" s="728">
        <f t="shared" si="244"/>
        <v>0</v>
      </c>
      <c r="AE478" s="729">
        <f t="shared" si="244"/>
        <v>0</v>
      </c>
      <c r="AF478" s="728">
        <f t="shared" si="244"/>
        <v>0</v>
      </c>
      <c r="AG478" s="729">
        <f t="shared" si="244"/>
        <v>0</v>
      </c>
      <c r="AH478" s="728">
        <f t="shared" si="244"/>
        <v>0</v>
      </c>
      <c r="AI478" s="729">
        <f t="shared" si="244"/>
        <v>0</v>
      </c>
      <c r="AJ478" s="477">
        <f t="shared" si="243"/>
        <v>0</v>
      </c>
      <c r="AK478" s="545" t="str">
        <f>CONCATENATE(IF((D479+D480+D481+D482)&lt;&gt;D478," * "&amp;$A478&amp;" , "&amp;$B479&amp;" plus "&amp;$B480&amp;" plus "&amp;$B481&amp;" plus "&amp;$B482&amp;" For age "&amp;$D$20&amp;" "&amp;$D$21&amp;" should be equal to "&amp;$B478&amp;""&amp;CHAR(10),""),IF((E479+E480+E481+E482)&lt;&gt;E478," * "&amp;$A478&amp;" , "&amp;$B479&amp;" plus "&amp;$B480&amp;" plus "&amp;$B481&amp;" plus "&amp;$B482&amp;" For age "&amp;$D$20&amp;" "&amp;$E$21&amp;" should be equal to "&amp;$B478&amp;""&amp;CHAR(10),""),IF((F479+F480+F481+F482)&lt;&gt;F478," * "&amp;$A478&amp;" , "&amp;$B479&amp;" plus "&amp;$B480&amp;" plus "&amp;$B481&amp;" plus "&amp;$B482&amp;" For age "&amp;$F$20&amp;" "&amp;$F$21&amp;" should be equal to "&amp;$B478&amp;""&amp;CHAR(10),""),IF((G479+G480+G481+G482)&lt;&gt;G478," * "&amp;$A478&amp;" , "&amp;$B479&amp;" plus "&amp;$B480&amp;" plus "&amp;$B481&amp;" plus "&amp;$B482&amp;" For age "&amp;$F$20&amp;" "&amp;$G$21&amp;" should be equal to "&amp;$B478&amp;""&amp;CHAR(10),""),IF((H479+H480+H481+H482)&lt;&gt;H478," * "&amp;$A478&amp;" , "&amp;$B479&amp;" plus "&amp;$B480&amp;" plus "&amp;$B481&amp;" plus "&amp;$B482&amp;" For age "&amp;$H$20&amp;" "&amp;$H$21&amp;" should be equal to "&amp;$B478&amp;""&amp;CHAR(10),""),IF((I479+I480+I481+I482)&lt;&gt;I478," * "&amp;$A478&amp;" , "&amp;$B479&amp;" plus "&amp;$B480&amp;" plus "&amp;$B481&amp;" plus "&amp;$B482&amp;" For age "&amp;$H$20&amp;" "&amp;$I$21&amp;" should be equal to "&amp;$B478&amp;""&amp;CHAR(10),""),IF((J479+J480+J481+J482)&lt;&gt;J478," * "&amp;$A478&amp;" , "&amp;$B479&amp;" plus "&amp;$B480&amp;" plus "&amp;$B481&amp;" plus "&amp;$B482&amp;" For age "&amp;$J$20&amp;" "&amp;$J$21&amp;" should be equal to "&amp;$B478&amp;""&amp;CHAR(10),""),IF((K479+K480+K481+K482)&lt;&gt;K478," * "&amp;$A478&amp;" , "&amp;$B479&amp;" plus "&amp;$B480&amp;" plus "&amp;$B481&amp;" plus "&amp;$B482&amp;" For age "&amp;$J$20&amp;" "&amp;$K$21&amp;" should be equal to "&amp;$B478&amp;""&amp;CHAR(10),""),IF((L479+L480+L481+L482)&lt;&gt;L478," * "&amp;$A478&amp;" , "&amp;$B479&amp;" plus "&amp;$B480&amp;" plus "&amp;$B481&amp;" plus "&amp;$B482&amp;" For age "&amp;$L$20&amp;" "&amp;$L$21&amp;" should be equal to "&amp;$B478&amp;""&amp;CHAR(10),""),IF((M479+M480+M481+M482)&lt;&gt;M478," * "&amp;$A478&amp;" , "&amp;$B479&amp;" plus "&amp;$B480&amp;" plus "&amp;$B481&amp;" plus "&amp;$B482&amp;" For age "&amp;$L$20&amp;" "&amp;$M$21&amp;" should be equal to "&amp;$B478&amp;""&amp;CHAR(10),""),IF((N479+N480+N481+N482)&lt;&gt;N478," * "&amp;$A478&amp;" , "&amp;$B479&amp;" plus "&amp;$B480&amp;" plus "&amp;$B481&amp;" plus "&amp;$B482&amp;" For age "&amp;$N$20&amp;" "&amp;$N$21&amp;" should be equal to "&amp;$B478&amp;""&amp;CHAR(10),""),IF((O479+O480+O481+O482)&lt;&gt;O478," * "&amp;$A478&amp;" , "&amp;$B479&amp;" plus "&amp;$B480&amp;" plus "&amp;$B481&amp;" plus "&amp;$B482&amp;" For age "&amp;$N$20&amp;" "&amp;$O$21&amp;" should be equal to "&amp;$B478&amp;""&amp;CHAR(10),""),IF((P479+P480+P481+P482)&lt;&gt;P478," * "&amp;$A478&amp;" , "&amp;$B479&amp;" plus "&amp;$B480&amp;" plus "&amp;$B481&amp;" plus "&amp;$B482&amp;" For age "&amp;$P$20&amp;" "&amp;$P$21&amp;" should be equal to "&amp;$B478&amp;""&amp;CHAR(10),""),IF((Q479+Q480+Q481+Q482)&lt;&gt;Q478," * "&amp;$A478&amp;" , "&amp;$B479&amp;" plus "&amp;$B480&amp;" plus "&amp;$B481&amp;" plus "&amp;$B482&amp;" For age "&amp;$P$20&amp;" "&amp;$Q$21&amp;" should be equal to "&amp;$B478&amp;""&amp;CHAR(10),""),IF((R479+R480+R481+R482)&lt;&gt;R478," * "&amp;$A478&amp;" , "&amp;$B479&amp;" plus "&amp;$B480&amp;" plus "&amp;$B481&amp;" plus "&amp;$B482&amp;" For age "&amp;$R$20&amp;" "&amp;$R$21&amp;" should be equal to "&amp;$B478&amp;""&amp;CHAR(10),""),IF((S479+S480+S481+S482)&lt;&gt;S478," * "&amp;$A478&amp;" , "&amp;$B479&amp;" plus "&amp;$B480&amp;" plus "&amp;$B481&amp;" plus "&amp;$B482&amp;" For age "&amp;$R$20&amp;" "&amp;$S$21&amp;" should be equal to "&amp;$B478&amp;""&amp;CHAR(10),""),IF((T479+T480+T481+T482)&lt;&gt;T478," * "&amp;$A478&amp;" , "&amp;$B479&amp;" plus "&amp;$B480&amp;" plus "&amp;$B481&amp;" plus "&amp;$B482&amp;" For age "&amp;$T$20&amp;" "&amp;$T$21&amp;" should be equal to "&amp;$B478&amp;""&amp;CHAR(10),""),IF((U479+U480+U481+U482)&lt;&gt;U478," * "&amp;$A478&amp;" , "&amp;$B479&amp;" plus "&amp;$B480&amp;" plus "&amp;$B481&amp;" plus "&amp;$B482&amp;" For age "&amp;$T$20&amp;" "&amp;$U$21&amp;" should be equal to "&amp;$B478&amp;""&amp;CHAR(10),""),IF((V479+V480+V481+V482)&lt;&gt;V478," * "&amp;$A478&amp;" , "&amp;$B479&amp;" plus "&amp;$B480&amp;" plus "&amp;$B481&amp;" plus "&amp;$B482&amp;" For age "&amp;$V$20&amp;" "&amp;$V$21&amp;" should be equal to "&amp;$B478&amp;""&amp;CHAR(10),""),IF((W479+W480+W481+W482)&lt;&gt;W478," * "&amp;$A478&amp;" , "&amp;$B479&amp;" plus "&amp;$B480&amp;" plus "&amp;$B481&amp;" plus "&amp;$B482&amp;" For age "&amp;$V$20&amp;" "&amp;$W$21&amp;" should be equal to "&amp;$B478&amp;""&amp;CHAR(10),""),IF((X479+X480+X481+X482)&lt;&gt;X478," * "&amp;$A478&amp;" , "&amp;$B479&amp;" plus "&amp;$B480&amp;" plus "&amp;$B481&amp;" plus "&amp;$B482&amp;" For age "&amp;$X$20&amp;" "&amp;$X$21&amp;" should be equal to "&amp;$B478&amp;""&amp;CHAR(10),""),IF((Y479+Y480+Y481+Y482)&lt;&gt;Y478," * "&amp;$A478&amp;" , "&amp;$B479&amp;" plus "&amp;$B480&amp;" plus "&amp;$B481&amp;" plus "&amp;$B482&amp;" For age "&amp;$X$20&amp;" "&amp;$Y$21&amp;" should be equal to "&amp;$B478&amp;""&amp;CHAR(10),""),IF((Z479+Z480+Z481+Z482)&lt;&gt;Z478," * "&amp;$A478&amp;" , "&amp;$B479&amp;" plus "&amp;$B480&amp;" plus "&amp;$B481&amp;" plus "&amp;$B482&amp;" For age "&amp;$Z$20&amp;" "&amp;$Z$21&amp;" should be equal to "&amp;$B478&amp;""&amp;CHAR(10),""),IF((AA479+AA480+AA481+AA482)&lt;&gt;AA478," * "&amp;$A478&amp;" , "&amp;$B479&amp;" plus "&amp;$B480&amp;" plus "&amp;$B481&amp;" plus "&amp;$B482&amp;" For age "&amp;$Z$20&amp;" "&amp;$AA$21&amp;" should be equal to "&amp;$B478&amp;""&amp;CHAR(10),""))</f>
        <v/>
      </c>
      <c r="AL478" s="1150"/>
      <c r="AM478" s="31"/>
      <c r="AN478" s="793"/>
      <c r="AO478" s="13">
        <v>31</v>
      </c>
      <c r="AP478" s="81"/>
      <c r="AQ478" s="82"/>
    </row>
    <row r="479" spans="1:43" s="83" customFormat="1" ht="26.25" x14ac:dyDescent="0.4">
      <c r="A479" s="1400"/>
      <c r="B479" s="736" t="s">
        <v>1075</v>
      </c>
      <c r="C479" s="740" t="s">
        <v>1102</v>
      </c>
      <c r="D479" s="625"/>
      <c r="E479" s="751"/>
      <c r="F479" s="755"/>
      <c r="G479" s="717"/>
      <c r="H479" s="717"/>
      <c r="I479" s="717"/>
      <c r="J479" s="717"/>
      <c r="K479" s="717"/>
      <c r="L479" s="481"/>
      <c r="M479" s="481"/>
      <c r="N479" s="481"/>
      <c r="O479" s="481"/>
      <c r="P479" s="481"/>
      <c r="Q479" s="481"/>
      <c r="R479" s="481"/>
      <c r="S479" s="481"/>
      <c r="T479" s="481"/>
      <c r="U479" s="481"/>
      <c r="V479" s="481"/>
      <c r="W479" s="481"/>
      <c r="X479" s="481"/>
      <c r="Y479" s="481"/>
      <c r="Z479" s="489">
        <f t="shared" ref="Z479:Z482" si="245">SUM(AB479,AD479,AF479,AH479)</f>
        <v>0</v>
      </c>
      <c r="AA479" s="489">
        <f t="shared" ref="AA479:AA482" si="246">SUM(AC479,AE479,AG479,AI479)</f>
        <v>0</v>
      </c>
      <c r="AB479" s="481"/>
      <c r="AC479" s="730"/>
      <c r="AD479" s="481"/>
      <c r="AE479" s="730"/>
      <c r="AF479" s="481"/>
      <c r="AG479" s="730"/>
      <c r="AH479" s="481"/>
      <c r="AI479" s="730"/>
      <c r="AJ479" s="478">
        <f t="shared" si="243"/>
        <v>0</v>
      </c>
      <c r="AK479" s="1216"/>
      <c r="AL479" s="1150"/>
      <c r="AM479" s="31" t="str">
        <f>CONCATENATE(IF(AND(IFERROR((AJ480*100)/AJ479,0)&gt;10,AJ480&gt;5)," * This facility has a high positivity rate for Index Testing. Kindly confirm if this is the true reflection"&amp;CHAR(10),""),"")</f>
        <v/>
      </c>
      <c r="AN479" s="793"/>
      <c r="AO479" s="13">
        <v>32</v>
      </c>
      <c r="AP479" s="81"/>
      <c r="AQ479" s="82"/>
    </row>
    <row r="480" spans="1:43" s="83" customFormat="1" ht="26.25" x14ac:dyDescent="0.4">
      <c r="A480" s="1400"/>
      <c r="B480" s="736" t="s">
        <v>1056</v>
      </c>
      <c r="C480" s="740" t="s">
        <v>1103</v>
      </c>
      <c r="D480" s="724"/>
      <c r="E480" s="752"/>
      <c r="F480" s="755"/>
      <c r="G480" s="717"/>
      <c r="H480" s="717"/>
      <c r="I480" s="717"/>
      <c r="J480" s="717"/>
      <c r="K480" s="717"/>
      <c r="L480" s="481"/>
      <c r="M480" s="481"/>
      <c r="N480" s="481"/>
      <c r="O480" s="481"/>
      <c r="P480" s="481"/>
      <c r="Q480" s="481"/>
      <c r="R480" s="481"/>
      <c r="S480" s="481"/>
      <c r="T480" s="481"/>
      <c r="U480" s="481"/>
      <c r="V480" s="481"/>
      <c r="W480" s="481"/>
      <c r="X480" s="481"/>
      <c r="Y480" s="481"/>
      <c r="Z480" s="489">
        <f t="shared" si="245"/>
        <v>0</v>
      </c>
      <c r="AA480" s="489">
        <f t="shared" si="246"/>
        <v>0</v>
      </c>
      <c r="AB480" s="481"/>
      <c r="AC480" s="730"/>
      <c r="AD480" s="481"/>
      <c r="AE480" s="730"/>
      <c r="AF480" s="481"/>
      <c r="AG480" s="730"/>
      <c r="AH480" s="481"/>
      <c r="AI480" s="730"/>
      <c r="AJ480" s="479">
        <f t="shared" si="243"/>
        <v>0</v>
      </c>
      <c r="AK480" s="1216"/>
      <c r="AL480" s="1150"/>
      <c r="AM480" s="31" t="e">
        <f>CONCATENATE(IF(D479&gt;0," * F01-12 for Age "&amp;D466&amp;" "&amp;D467&amp;" has a value greater than 0"&amp;CHAR(10),""),IF(E479&gt;0," * F01-12 for Age "&amp;D466&amp;" "&amp;E467&amp;" has a value greater than 0"&amp;CHAR(10),""),IF(D480&gt;0," * F01-13 for Age "&amp;D466&amp;" "&amp;D467&amp;" has a value greater than 0"&amp;CHAR(10),""),IF(E480&gt;0," * F01-13 for Age "&amp;D466&amp;" "&amp;E467&amp;" has a value greater than 0"&amp;CHAR(10),""),IF(#REF!&gt;0," * F01-14 for Age "&amp;D466&amp;" "&amp;D467&amp;" has a value greater than 0"&amp;CHAR(10),""),IF(#REF!&gt;0," * F01-14 for Age "&amp;D466&amp;" "&amp;E467&amp;" has a value greater than 0"&amp;CHAR(10),""),IF(D543&gt;0," * F01-15 for Age "&amp;D466&amp;" "&amp;D467&amp;" has a value greater than 0"&amp;CHAR(10),""),IF(E543&gt;0," * F01-15 for Age "&amp;D466&amp;" "&amp;E467&amp;" has a value greater than 0"&amp;CHAR(10),""),IF(D548&gt;0," * F01-20 for Age "&amp;D466&amp;" "&amp;D467&amp;" has a value greater than 0"&amp;CHAR(10),""),IF(E548&gt;0," * F01-20 for Age "&amp;D466&amp;" "&amp;E467&amp;" has a value greater than 0"&amp;CHAR(10),""),IF(D549&gt;0," * F01-21 for Age "&amp;D466&amp;" "&amp;D467&amp;" has a value greater than 0"&amp;CHAR(10),""),IF(E549&gt;0," * F01-21 for Age "&amp;D466&amp;" "&amp;E467&amp;" has a value greater than 0"&amp;CHAR(10),""),IF(D550&gt;0," * F01-22 for Age "&amp;D466&amp;" "&amp;D467&amp;" has a value greater than 0"&amp;CHAR(10),""),IF(E550&gt;0," * F01-22 for Age "&amp;D466&amp;" "&amp;E467&amp;" has a value greater than 0"&amp;CHAR(10),""),IF(D551&gt;0," * F01-23 for Age "&amp;D466&amp;" "&amp;D467&amp;" has a value greater than 0"&amp;CHAR(10),""),IF(E551&gt;0," * F01-23 for Age "&amp;D466&amp;" "&amp;E467&amp;" has a value greater than 0"&amp;CHAR(10),""),"")</f>
        <v>#REF!</v>
      </c>
      <c r="AN480" s="793"/>
      <c r="AO480" s="13">
        <v>33</v>
      </c>
      <c r="AP480" s="81"/>
      <c r="AQ480" s="82"/>
    </row>
    <row r="481" spans="1:43" s="83" customFormat="1" ht="26.25" x14ac:dyDescent="0.4">
      <c r="A481" s="1400"/>
      <c r="B481" s="736" t="s">
        <v>1058</v>
      </c>
      <c r="C481" s="740" t="s">
        <v>1104</v>
      </c>
      <c r="D481" s="724"/>
      <c r="E481" s="752"/>
      <c r="F481" s="755"/>
      <c r="G481" s="717"/>
      <c r="H481" s="717"/>
      <c r="I481" s="717"/>
      <c r="J481" s="717"/>
      <c r="K481" s="717"/>
      <c r="L481" s="481"/>
      <c r="M481" s="481"/>
      <c r="N481" s="481"/>
      <c r="O481" s="481"/>
      <c r="P481" s="481"/>
      <c r="Q481" s="481"/>
      <c r="R481" s="481"/>
      <c r="S481" s="481"/>
      <c r="T481" s="481"/>
      <c r="U481" s="481"/>
      <c r="V481" s="481"/>
      <c r="W481" s="481"/>
      <c r="X481" s="481"/>
      <c r="Y481" s="481"/>
      <c r="Z481" s="489">
        <f t="shared" si="245"/>
        <v>0</v>
      </c>
      <c r="AA481" s="489">
        <f t="shared" si="246"/>
        <v>0</v>
      </c>
      <c r="AB481" s="481"/>
      <c r="AC481" s="730"/>
      <c r="AD481" s="481"/>
      <c r="AE481" s="730"/>
      <c r="AF481" s="481"/>
      <c r="AG481" s="730"/>
      <c r="AH481" s="481"/>
      <c r="AI481" s="730"/>
      <c r="AJ481" s="479">
        <f t="shared" si="243"/>
        <v>0</v>
      </c>
      <c r="AK481" s="470"/>
      <c r="AL481" s="1150"/>
      <c r="AM481" s="31" t="str">
        <f>CONCATENATE(IF(D480&gt;0," * F01-12 for Age "&amp;D467&amp;" "&amp;D468&amp;" has a value greater than 0"&amp;CHAR(10),""),IF(E480&gt;0," * F01-12 for Age "&amp;D467&amp;" "&amp;E468&amp;" has a value greater than 0"&amp;CHAR(10),""),IF(D481&gt;0," * F01-13 for Age "&amp;D467&amp;" "&amp;D468&amp;" has a value greater than 0"&amp;CHAR(10),""),IF(E481&gt;0," * F01-13 for Age "&amp;D467&amp;" "&amp;E468&amp;" has a value greater than 0"&amp;CHAR(10),""),IF(D543&gt;0," * F01-14 for Age "&amp;D467&amp;" "&amp;D468&amp;" has a value greater than 0"&amp;CHAR(10),""),IF(E543&gt;0," * F01-14 for Age "&amp;D467&amp;" "&amp;E468&amp;" has a value greater than 0"&amp;CHAR(10),""),IF(D544&gt;0," * F01-15 for Age "&amp;D467&amp;" "&amp;D468&amp;" has a value greater than 0"&amp;CHAR(10),""),IF(E544&gt;0," * F01-15 for Age "&amp;D467&amp;" "&amp;E468&amp;" has a value greater than 0"&amp;CHAR(10),""),IF(D549&gt;0," * F01-20 for Age "&amp;D467&amp;" "&amp;D468&amp;" has a value greater than 0"&amp;CHAR(10),""),IF(E549&gt;0," * F01-20 for Age "&amp;D467&amp;" "&amp;E468&amp;" has a value greater than 0"&amp;CHAR(10),""),IF(D550&gt;0," * F01-21 for Age "&amp;D467&amp;" "&amp;D468&amp;" has a value greater than 0"&amp;CHAR(10),""),IF(E550&gt;0," * F01-21 for Age "&amp;D467&amp;" "&amp;E468&amp;" has a value greater than 0"&amp;CHAR(10),""),IF(D551&gt;0," * F01-22 for Age "&amp;D467&amp;" "&amp;D468&amp;" has a value greater than 0"&amp;CHAR(10),""),IF(E551&gt;0," * F01-22 for Age "&amp;D467&amp;" "&amp;E468&amp;" has a value greater than 0"&amp;CHAR(10),""),IF(D552&gt;0," * F01-23 for Age "&amp;D467&amp;" "&amp;D468&amp;" has a value greater than 0"&amp;CHAR(10),""),IF(E552&gt;0," * F01-23 for Age "&amp;D467&amp;" "&amp;E468&amp;" has a value greater than 0"&amp;CHAR(10),""),"")</f>
        <v/>
      </c>
      <c r="AN481" s="793"/>
      <c r="AO481" s="13">
        <v>33</v>
      </c>
      <c r="AP481" s="81"/>
      <c r="AQ481" s="82"/>
    </row>
    <row r="482" spans="1:43" s="83" customFormat="1" ht="27" thickBot="1" x14ac:dyDescent="0.45">
      <c r="A482" s="1401"/>
      <c r="B482" s="737" t="s">
        <v>1060</v>
      </c>
      <c r="C482" s="741" t="s">
        <v>1105</v>
      </c>
      <c r="D482" s="725"/>
      <c r="E482" s="753"/>
      <c r="F482" s="756">
        <f>F478-SUM(F479:F481)</f>
        <v>0</v>
      </c>
      <c r="G482" s="726">
        <f t="shared" ref="G482" si="247">G478-SUM(G479:G481)</f>
        <v>0</v>
      </c>
      <c r="H482" s="726">
        <f t="shared" ref="H482" si="248">H478-SUM(H479:H481)</f>
        <v>0</v>
      </c>
      <c r="I482" s="726">
        <f t="shared" ref="I482" si="249">I478-SUM(I479:I481)</f>
        <v>0</v>
      </c>
      <c r="J482" s="726">
        <f t="shared" ref="J482" si="250">J478-SUM(J479:J481)</f>
        <v>0</v>
      </c>
      <c r="K482" s="726">
        <f t="shared" ref="K482" si="251">K478-SUM(K479:K481)</f>
        <v>0</v>
      </c>
      <c r="L482" s="549"/>
      <c r="M482" s="549"/>
      <c r="N482" s="549"/>
      <c r="O482" s="549"/>
      <c r="P482" s="549"/>
      <c r="Q482" s="549"/>
      <c r="R482" s="549"/>
      <c r="S482" s="549"/>
      <c r="T482" s="549"/>
      <c r="U482" s="549"/>
      <c r="V482" s="549"/>
      <c r="W482" s="549"/>
      <c r="X482" s="549"/>
      <c r="Y482" s="549"/>
      <c r="Z482" s="489">
        <f t="shared" si="245"/>
        <v>0</v>
      </c>
      <c r="AA482" s="489">
        <f t="shared" si="246"/>
        <v>0</v>
      </c>
      <c r="AB482" s="549"/>
      <c r="AC482" s="732"/>
      <c r="AD482" s="549"/>
      <c r="AE482" s="732"/>
      <c r="AF482" s="549"/>
      <c r="AG482" s="732"/>
      <c r="AH482" s="549"/>
      <c r="AI482" s="732"/>
      <c r="AJ482" s="480">
        <f t="shared" si="243"/>
        <v>0</v>
      </c>
      <c r="AK482" s="470"/>
      <c r="AL482" s="1150"/>
      <c r="AM482" s="31" t="str">
        <f>CONCATENATE(IF(D481&gt;0," * F01-12 for Age "&amp;D468&amp;" "&amp;D469&amp;" has a value greater than 0"&amp;CHAR(10),""),IF(E481&gt;0," * F01-12 for Age "&amp;D468&amp;" "&amp;E469&amp;" has a value greater than 0"&amp;CHAR(10),""),IF(D482&gt;0," * F01-13 for Age "&amp;D468&amp;" "&amp;D469&amp;" has a value greater than 0"&amp;CHAR(10),""),IF(E482&gt;0," * F01-13 for Age "&amp;D468&amp;" "&amp;E469&amp;" has a value greater than 0"&amp;CHAR(10),""),IF(D544&gt;0," * F01-14 for Age "&amp;D468&amp;" "&amp;D469&amp;" has a value greater than 0"&amp;CHAR(10),""),IF(E544&gt;0," * F01-14 for Age "&amp;D468&amp;" "&amp;E469&amp;" has a value greater than 0"&amp;CHAR(10),""),IF(D545&gt;0," * F01-15 for Age "&amp;D468&amp;" "&amp;D469&amp;" has a value greater than 0"&amp;CHAR(10),""),IF(E545&gt;0," * F01-15 for Age "&amp;D468&amp;" "&amp;E469&amp;" has a value greater than 0"&amp;CHAR(10),""),IF(D550&gt;0," * F01-20 for Age "&amp;D468&amp;" "&amp;D469&amp;" has a value greater than 0"&amp;CHAR(10),""),IF(E550&gt;0," * F01-20 for Age "&amp;D468&amp;" "&amp;E469&amp;" has a value greater than 0"&amp;CHAR(10),""),IF(D551&gt;0," * F01-21 for Age "&amp;D468&amp;" "&amp;D469&amp;" has a value greater than 0"&amp;CHAR(10),""),IF(E551&gt;0," * F01-21 for Age "&amp;D468&amp;" "&amp;E469&amp;" has a value greater than 0"&amp;CHAR(10),""),IF(D552&gt;0," * F01-22 for Age "&amp;D468&amp;" "&amp;D469&amp;" has a value greater than 0"&amp;CHAR(10),""),IF(E552&gt;0," * F01-22 for Age "&amp;D468&amp;" "&amp;E469&amp;" has a value greater than 0"&amp;CHAR(10),""),IF(D553&gt;0," * F01-23 for Age "&amp;D468&amp;" "&amp;D469&amp;" has a value greater than 0"&amp;CHAR(10),""),IF(E553&gt;0," * F01-23 for Age "&amp;D468&amp;" "&amp;E469&amp;" has a value greater than 0"&amp;CHAR(10),""),"")</f>
        <v/>
      </c>
      <c r="AN482" s="793"/>
      <c r="AO482" s="13">
        <v>33</v>
      </c>
      <c r="AP482" s="81"/>
      <c r="AQ482" s="82"/>
    </row>
    <row r="483" spans="1:43" s="83" customFormat="1" ht="27" thickBot="1" x14ac:dyDescent="0.45">
      <c r="A483" s="1399" t="s">
        <v>998</v>
      </c>
      <c r="B483" s="735" t="s">
        <v>138</v>
      </c>
      <c r="C483" s="739" t="s">
        <v>1106</v>
      </c>
      <c r="D483" s="722"/>
      <c r="E483" s="750"/>
      <c r="F483" s="761">
        <f t="shared" ref="F483:AI483" si="252">F53</f>
        <v>0</v>
      </c>
      <c r="G483" s="487">
        <f t="shared" si="252"/>
        <v>0</v>
      </c>
      <c r="H483" s="487">
        <f t="shared" si="252"/>
        <v>0</v>
      </c>
      <c r="I483" s="487">
        <f t="shared" si="252"/>
        <v>0</v>
      </c>
      <c r="J483" s="487">
        <f t="shared" si="252"/>
        <v>0</v>
      </c>
      <c r="K483" s="487">
        <f t="shared" si="252"/>
        <v>0</v>
      </c>
      <c r="L483" s="487">
        <f t="shared" si="252"/>
        <v>0</v>
      </c>
      <c r="M483" s="487">
        <f t="shared" si="252"/>
        <v>0</v>
      </c>
      <c r="N483" s="487">
        <f t="shared" si="252"/>
        <v>0</v>
      </c>
      <c r="O483" s="487">
        <f t="shared" si="252"/>
        <v>0</v>
      </c>
      <c r="P483" s="487">
        <f t="shared" si="252"/>
        <v>0</v>
      </c>
      <c r="Q483" s="487">
        <f t="shared" si="252"/>
        <v>0</v>
      </c>
      <c r="R483" s="487">
        <f t="shared" si="252"/>
        <v>0</v>
      </c>
      <c r="S483" s="487">
        <f t="shared" si="252"/>
        <v>0</v>
      </c>
      <c r="T483" s="487">
        <f t="shared" si="252"/>
        <v>0</v>
      </c>
      <c r="U483" s="487">
        <f t="shared" si="252"/>
        <v>0</v>
      </c>
      <c r="V483" s="487">
        <f t="shared" si="252"/>
        <v>0</v>
      </c>
      <c r="W483" s="487">
        <f t="shared" si="252"/>
        <v>0</v>
      </c>
      <c r="X483" s="487">
        <f t="shared" si="252"/>
        <v>0</v>
      </c>
      <c r="Y483" s="487">
        <f t="shared" si="252"/>
        <v>0</v>
      </c>
      <c r="Z483" s="487">
        <f t="shared" si="252"/>
        <v>0</v>
      </c>
      <c r="AA483" s="747">
        <f t="shared" si="252"/>
        <v>0</v>
      </c>
      <c r="AB483" s="487">
        <f t="shared" si="252"/>
        <v>0</v>
      </c>
      <c r="AC483" s="747">
        <f t="shared" si="252"/>
        <v>0</v>
      </c>
      <c r="AD483" s="487">
        <f t="shared" si="252"/>
        <v>0</v>
      </c>
      <c r="AE483" s="747">
        <f t="shared" si="252"/>
        <v>0</v>
      </c>
      <c r="AF483" s="487">
        <f t="shared" si="252"/>
        <v>0</v>
      </c>
      <c r="AG483" s="747">
        <f t="shared" si="252"/>
        <v>0</v>
      </c>
      <c r="AH483" s="487">
        <f t="shared" si="252"/>
        <v>0</v>
      </c>
      <c r="AI483" s="747">
        <f t="shared" si="252"/>
        <v>0</v>
      </c>
      <c r="AJ483" s="477">
        <f t="shared" si="243"/>
        <v>0</v>
      </c>
      <c r="AK483" s="545" t="str">
        <f>CONCATENATE(IF((D484+D485+D486+D487)&lt;&gt;D483," * "&amp;$A483&amp;" , "&amp;$B484&amp;" plus "&amp;$B485&amp;" plus "&amp;$B486&amp;" plus "&amp;$B487&amp;" For age "&amp;$D$20&amp;" "&amp;$D$21&amp;" should be equal to "&amp;$B483&amp;""&amp;CHAR(10),""),IF((E484+E485+E486+E487)&lt;&gt;E483," * "&amp;$A483&amp;" , "&amp;$B484&amp;" plus "&amp;$B485&amp;" plus "&amp;$B486&amp;" plus "&amp;$B487&amp;" For age "&amp;$D$20&amp;" "&amp;$E$21&amp;" should be equal to "&amp;$B483&amp;""&amp;CHAR(10),""),IF((F484+F485+F486+F487)&lt;&gt;F483," * "&amp;$A483&amp;" , "&amp;$B484&amp;" plus "&amp;$B485&amp;" plus "&amp;$B486&amp;" plus "&amp;$B487&amp;" For age "&amp;$F$20&amp;" "&amp;$F$21&amp;" should be equal to "&amp;$B483&amp;""&amp;CHAR(10),""),IF((G484+G485+G486+G487)&lt;&gt;G483," * "&amp;$A483&amp;" , "&amp;$B484&amp;" plus "&amp;$B485&amp;" plus "&amp;$B486&amp;" plus "&amp;$B487&amp;" For age "&amp;$F$20&amp;" "&amp;$G$21&amp;" should be equal to "&amp;$B483&amp;""&amp;CHAR(10),""),IF((H484+H485+H486+H487)&lt;&gt;H483," * "&amp;$A483&amp;" , "&amp;$B484&amp;" plus "&amp;$B485&amp;" plus "&amp;$B486&amp;" plus "&amp;$B487&amp;" For age "&amp;$H$20&amp;" "&amp;$H$21&amp;" should be equal to "&amp;$B483&amp;""&amp;CHAR(10),""),IF((I484+I485+I486+I487)&lt;&gt;I483," * "&amp;$A483&amp;" , "&amp;$B484&amp;" plus "&amp;$B485&amp;" plus "&amp;$B486&amp;" plus "&amp;$B487&amp;" For age "&amp;$H$20&amp;" "&amp;$I$21&amp;" should be equal to "&amp;$B483&amp;""&amp;CHAR(10),""),IF((J484+J485+J486+J487)&lt;&gt;J483," * "&amp;$A483&amp;" , "&amp;$B484&amp;" plus "&amp;$B485&amp;" plus "&amp;$B486&amp;" plus "&amp;$B487&amp;" For age "&amp;$J$20&amp;" "&amp;$J$21&amp;" should be equal to "&amp;$B483&amp;""&amp;CHAR(10),""),IF((K484+K485+K486+K487)&lt;&gt;K483," * "&amp;$A483&amp;" , "&amp;$B484&amp;" plus "&amp;$B485&amp;" plus "&amp;$B486&amp;" plus "&amp;$B487&amp;" For age "&amp;$J$20&amp;" "&amp;$K$21&amp;" should be equal to "&amp;$B483&amp;""&amp;CHAR(10),""),IF((L484+L485+L486+L487)&lt;&gt;L483," * "&amp;$A483&amp;" , "&amp;$B484&amp;" plus "&amp;$B485&amp;" plus "&amp;$B486&amp;" plus "&amp;$B487&amp;" For age "&amp;$L$20&amp;" "&amp;$L$21&amp;" should be equal to "&amp;$B483&amp;""&amp;CHAR(10),""),IF((M484+M485+M486+M487)&lt;&gt;M483," * "&amp;$A483&amp;" , "&amp;$B484&amp;" plus "&amp;$B485&amp;" plus "&amp;$B486&amp;" plus "&amp;$B487&amp;" For age "&amp;$L$20&amp;" "&amp;$M$21&amp;" should be equal to "&amp;$B483&amp;""&amp;CHAR(10),""),IF((N484+N485+N486+N487)&lt;&gt;N483," * "&amp;$A483&amp;" , "&amp;$B484&amp;" plus "&amp;$B485&amp;" plus "&amp;$B486&amp;" plus "&amp;$B487&amp;" For age "&amp;$N$20&amp;" "&amp;$N$21&amp;" should be equal to "&amp;$B483&amp;""&amp;CHAR(10),""),IF((O484+O485+O486+O487)&lt;&gt;O483," * "&amp;$A483&amp;" , "&amp;$B484&amp;" plus "&amp;$B485&amp;" plus "&amp;$B486&amp;" plus "&amp;$B487&amp;" For age "&amp;$N$20&amp;" "&amp;$O$21&amp;" should be equal to "&amp;$B483&amp;""&amp;CHAR(10),""),IF((P484+P485+P486+P487)&lt;&gt;P483," * "&amp;$A483&amp;" , "&amp;$B484&amp;" plus "&amp;$B485&amp;" plus "&amp;$B486&amp;" plus "&amp;$B487&amp;" For age "&amp;$P$20&amp;" "&amp;$P$21&amp;" should be equal to "&amp;$B483&amp;""&amp;CHAR(10),""),IF((Q484+Q485+Q486+Q487)&lt;&gt;Q483," * "&amp;$A483&amp;" , "&amp;$B484&amp;" plus "&amp;$B485&amp;" plus "&amp;$B486&amp;" plus "&amp;$B487&amp;" For age "&amp;$P$20&amp;" "&amp;$Q$21&amp;" should be equal to "&amp;$B483&amp;""&amp;CHAR(10),""),IF((R484+R485+R486+R487)&lt;&gt;R483," * "&amp;$A483&amp;" , "&amp;$B484&amp;" plus "&amp;$B485&amp;" plus "&amp;$B486&amp;" plus "&amp;$B487&amp;" For age "&amp;$R$20&amp;" "&amp;$R$21&amp;" should be equal to "&amp;$B483&amp;""&amp;CHAR(10),""),IF((S484+S485+S486+S487)&lt;&gt;S483," * "&amp;$A483&amp;" , "&amp;$B484&amp;" plus "&amp;$B485&amp;" plus "&amp;$B486&amp;" plus "&amp;$B487&amp;" For age "&amp;$R$20&amp;" "&amp;$S$21&amp;" should be equal to "&amp;$B483&amp;""&amp;CHAR(10),""),IF((T484+T485+T486+T487)&lt;&gt;T483," * "&amp;$A483&amp;" , "&amp;$B484&amp;" plus "&amp;$B485&amp;" plus "&amp;$B486&amp;" plus "&amp;$B487&amp;" For age "&amp;$T$20&amp;" "&amp;$T$21&amp;" should be equal to "&amp;$B483&amp;""&amp;CHAR(10),""),IF((U484+U485+U486+U487)&lt;&gt;U483," * "&amp;$A483&amp;" , "&amp;$B484&amp;" plus "&amp;$B485&amp;" plus "&amp;$B486&amp;" plus "&amp;$B487&amp;" For age "&amp;$T$20&amp;" "&amp;$U$21&amp;" should be equal to "&amp;$B483&amp;""&amp;CHAR(10),""),IF((V484+V485+V486+V487)&lt;&gt;V483," * "&amp;$A483&amp;" , "&amp;$B484&amp;" plus "&amp;$B485&amp;" plus "&amp;$B486&amp;" plus "&amp;$B487&amp;" For age "&amp;$V$20&amp;" "&amp;$V$21&amp;" should be equal to "&amp;$B483&amp;""&amp;CHAR(10),""),IF((W484+W485+W486+W487)&lt;&gt;W483," * "&amp;$A483&amp;" , "&amp;$B484&amp;" plus "&amp;$B485&amp;" plus "&amp;$B486&amp;" plus "&amp;$B487&amp;" For age "&amp;$V$20&amp;" "&amp;$W$21&amp;" should be equal to "&amp;$B483&amp;""&amp;CHAR(10),""),IF((X484+X485+X486+X487)&lt;&gt;X483," * "&amp;$A483&amp;" , "&amp;$B484&amp;" plus "&amp;$B485&amp;" plus "&amp;$B486&amp;" plus "&amp;$B487&amp;" For age "&amp;$X$20&amp;" "&amp;$X$21&amp;" should be equal to "&amp;$B483&amp;""&amp;CHAR(10),""),IF((Y484+Y485+Y486+Y487)&lt;&gt;Y483," * "&amp;$A483&amp;" , "&amp;$B484&amp;" plus "&amp;$B485&amp;" plus "&amp;$B486&amp;" plus "&amp;$B487&amp;" For age "&amp;$X$20&amp;" "&amp;$Y$21&amp;" should be equal to "&amp;$B483&amp;""&amp;CHAR(10),""),IF((Z484+Z485+Z486+Z487)&lt;&gt;Z483," * "&amp;$A483&amp;" , "&amp;$B484&amp;" plus "&amp;$B485&amp;" plus "&amp;$B486&amp;" plus "&amp;$B487&amp;" For age "&amp;$Z$20&amp;" "&amp;$Z$21&amp;" should be equal to "&amp;$B483&amp;""&amp;CHAR(10),""),IF((AA484+AA485+AA486+AA487)&lt;&gt;AA483," * "&amp;$A483&amp;" , "&amp;$B484&amp;" plus "&amp;$B485&amp;" plus "&amp;$B486&amp;" plus "&amp;$B487&amp;" For age "&amp;$Z$20&amp;" "&amp;$AA$21&amp;" should be equal to "&amp;$B483&amp;""&amp;CHAR(10),""))</f>
        <v/>
      </c>
      <c r="AL483" s="1150"/>
      <c r="AM483" s="31"/>
      <c r="AN483" s="793"/>
      <c r="AO483" s="13">
        <v>31</v>
      </c>
      <c r="AP483" s="81"/>
      <c r="AQ483" s="82"/>
    </row>
    <row r="484" spans="1:43" s="83" customFormat="1" ht="26.25" x14ac:dyDescent="0.4">
      <c r="A484" s="1400"/>
      <c r="B484" s="736" t="s">
        <v>1075</v>
      </c>
      <c r="C484" s="740" t="s">
        <v>1107</v>
      </c>
      <c r="D484" s="625"/>
      <c r="E484" s="751"/>
      <c r="F484" s="550"/>
      <c r="G484" s="547"/>
      <c r="H484" s="547"/>
      <c r="I484" s="547"/>
      <c r="J484" s="547"/>
      <c r="K484" s="547"/>
      <c r="L484" s="547"/>
      <c r="M484" s="547"/>
      <c r="N484" s="547"/>
      <c r="O484" s="547"/>
      <c r="P484" s="547"/>
      <c r="Q484" s="547"/>
      <c r="R484" s="547"/>
      <c r="S484" s="547"/>
      <c r="T484" s="547"/>
      <c r="U484" s="547"/>
      <c r="V484" s="547"/>
      <c r="W484" s="547"/>
      <c r="X484" s="547"/>
      <c r="Y484" s="547"/>
      <c r="Z484" s="489">
        <f t="shared" ref="Z484:Z487" si="253">SUM(AB484,AD484,AF484,AH484)</f>
        <v>0</v>
      </c>
      <c r="AA484" s="489">
        <f t="shared" ref="AA484:AA497" si="254">SUM(AC484,AE484,AG484,AI484)</f>
        <v>0</v>
      </c>
      <c r="AB484" s="547"/>
      <c r="AC484" s="748"/>
      <c r="AD484" s="547"/>
      <c r="AE484" s="748"/>
      <c r="AF484" s="547"/>
      <c r="AG484" s="748"/>
      <c r="AH484" s="547"/>
      <c r="AI484" s="748"/>
      <c r="AJ484" s="478">
        <f t="shared" si="243"/>
        <v>0</v>
      </c>
      <c r="AK484" s="1216"/>
      <c r="AL484" s="1150"/>
      <c r="AM484" s="31" t="str">
        <f>CONCATENATE(IF(AND(IFERROR((AJ485*100)/AJ484,0)&gt;10,AJ485&gt;5)," * This facility has a high positivity rate for Index Testing. Kindly confirm if this is the true reflection"&amp;CHAR(10),""),"")</f>
        <v/>
      </c>
      <c r="AN484" s="793"/>
      <c r="AO484" s="13">
        <v>32</v>
      </c>
      <c r="AP484" s="81"/>
      <c r="AQ484" s="82"/>
    </row>
    <row r="485" spans="1:43" s="83" customFormat="1" ht="26.25" x14ac:dyDescent="0.4">
      <c r="A485" s="1400"/>
      <c r="B485" s="736" t="s">
        <v>1056</v>
      </c>
      <c r="C485" s="740" t="s">
        <v>1108</v>
      </c>
      <c r="D485" s="724"/>
      <c r="E485" s="752"/>
      <c r="F485" s="551"/>
      <c r="G485" s="481"/>
      <c r="H485" s="481"/>
      <c r="I485" s="481"/>
      <c r="J485" s="481"/>
      <c r="K485" s="481"/>
      <c r="L485" s="481"/>
      <c r="M485" s="481"/>
      <c r="N485" s="481"/>
      <c r="O485" s="481"/>
      <c r="P485" s="481"/>
      <c r="Q485" s="481"/>
      <c r="R485" s="481"/>
      <c r="S485" s="481"/>
      <c r="T485" s="481"/>
      <c r="U485" s="481"/>
      <c r="V485" s="481"/>
      <c r="W485" s="481"/>
      <c r="X485" s="481"/>
      <c r="Y485" s="481"/>
      <c r="Z485" s="489">
        <f t="shared" si="253"/>
        <v>0</v>
      </c>
      <c r="AA485" s="489">
        <f t="shared" si="254"/>
        <v>0</v>
      </c>
      <c r="AB485" s="481"/>
      <c r="AC485" s="730"/>
      <c r="AD485" s="481"/>
      <c r="AE485" s="730"/>
      <c r="AF485" s="481"/>
      <c r="AG485" s="730"/>
      <c r="AH485" s="481"/>
      <c r="AI485" s="730"/>
      <c r="AJ485" s="479">
        <f t="shared" si="243"/>
        <v>0</v>
      </c>
      <c r="AK485" s="1216"/>
      <c r="AL485" s="1150"/>
      <c r="AM485" s="31" t="e">
        <f>CONCATENATE(IF(D484&gt;0," * F01-12 for Age "&amp;D471&amp;" "&amp;D472&amp;" has a value greater than 0"&amp;CHAR(10),""),IF(E484&gt;0," * F01-12 for Age "&amp;D471&amp;" "&amp;E472&amp;" has a value greater than 0"&amp;CHAR(10),""),IF(D485&gt;0," * F01-13 for Age "&amp;D471&amp;" "&amp;D472&amp;" has a value greater than 0"&amp;CHAR(10),""),IF(E485&gt;0," * F01-13 for Age "&amp;D471&amp;" "&amp;E472&amp;" has a value greater than 0"&amp;CHAR(10),""),IF(#REF!&gt;0," * F01-14 for Age "&amp;D471&amp;" "&amp;D472&amp;" has a value greater than 0"&amp;CHAR(10),""),IF(#REF!&gt;0," * F01-14 for Age "&amp;D471&amp;" "&amp;E472&amp;" has a value greater than 0"&amp;CHAR(10),""),IF(D548&gt;0," * F01-15 for Age "&amp;D471&amp;" "&amp;D472&amp;" has a value greater than 0"&amp;CHAR(10),""),IF(E548&gt;0," * F01-15 for Age "&amp;D471&amp;" "&amp;E472&amp;" has a value greater than 0"&amp;CHAR(10),""),IF(D553&gt;0," * F01-20 for Age "&amp;D471&amp;" "&amp;D472&amp;" has a value greater than 0"&amp;CHAR(10),""),IF(E553&gt;0," * F01-20 for Age "&amp;D471&amp;" "&amp;E472&amp;" has a value greater than 0"&amp;CHAR(10),""),IF(D554&gt;0," * F01-21 for Age "&amp;D471&amp;" "&amp;D472&amp;" has a value greater than 0"&amp;CHAR(10),""),IF(E554&gt;0," * F01-21 for Age "&amp;D471&amp;" "&amp;E472&amp;" has a value greater than 0"&amp;CHAR(10),""),IF(D555&gt;0," * F01-22 for Age "&amp;D471&amp;" "&amp;D472&amp;" has a value greater than 0"&amp;CHAR(10),""),IF(E555&gt;0," * F01-22 for Age "&amp;D471&amp;" "&amp;E472&amp;" has a value greater than 0"&amp;CHAR(10),""),IF(D556&gt;0," * F01-23 for Age "&amp;D471&amp;" "&amp;D472&amp;" has a value greater than 0"&amp;CHAR(10),""),IF(E556&gt;0," * F01-23 for Age "&amp;D471&amp;" "&amp;E472&amp;" has a value greater than 0"&amp;CHAR(10),""),"")</f>
        <v>#REF!</v>
      </c>
      <c r="AN485" s="793"/>
      <c r="AO485" s="13">
        <v>33</v>
      </c>
      <c r="AP485" s="81"/>
      <c r="AQ485" s="82"/>
    </row>
    <row r="486" spans="1:43" s="83" customFormat="1" ht="26.25" x14ac:dyDescent="0.4">
      <c r="A486" s="1400"/>
      <c r="B486" s="736" t="s">
        <v>1058</v>
      </c>
      <c r="C486" s="740" t="s">
        <v>1109</v>
      </c>
      <c r="D486" s="724"/>
      <c r="E486" s="752"/>
      <c r="F486" s="552"/>
      <c r="G486" s="488"/>
      <c r="H486" s="488"/>
      <c r="I486" s="488"/>
      <c r="J486" s="488"/>
      <c r="K486" s="488"/>
      <c r="L486" s="488"/>
      <c r="M486" s="488"/>
      <c r="N486" s="488"/>
      <c r="O486" s="488"/>
      <c r="P486" s="488"/>
      <c r="Q486" s="488"/>
      <c r="R486" s="488"/>
      <c r="S486" s="488"/>
      <c r="T486" s="488"/>
      <c r="U486" s="488"/>
      <c r="V486" s="488"/>
      <c r="W486" s="488"/>
      <c r="X486" s="488"/>
      <c r="Y486" s="488"/>
      <c r="Z486" s="489">
        <f>SUM(AB486,AD486,AF486,AH486)</f>
        <v>0</v>
      </c>
      <c r="AA486" s="489">
        <f t="shared" si="254"/>
        <v>0</v>
      </c>
      <c r="AB486" s="488"/>
      <c r="AC486" s="749"/>
      <c r="AD486" s="488"/>
      <c r="AE486" s="749"/>
      <c r="AF486" s="488"/>
      <c r="AG486" s="749"/>
      <c r="AH486" s="488"/>
      <c r="AI486" s="749"/>
      <c r="AJ486" s="479">
        <f t="shared" si="243"/>
        <v>0</v>
      </c>
      <c r="AK486" s="470"/>
      <c r="AL486" s="1150"/>
      <c r="AM486" s="31" t="str">
        <f>CONCATENATE(IF(D485&gt;0," * F01-12 for Age "&amp;D472&amp;" "&amp;D473&amp;" has a value greater than 0"&amp;CHAR(10),""),IF(E485&gt;0," * F01-12 for Age "&amp;D472&amp;" "&amp;E473&amp;" has a value greater than 0"&amp;CHAR(10),""),IF(D486&gt;0," * F01-13 for Age "&amp;D472&amp;" "&amp;D473&amp;" has a value greater than 0"&amp;CHAR(10),""),IF(E486&gt;0," * F01-13 for Age "&amp;D472&amp;" "&amp;E473&amp;" has a value greater than 0"&amp;CHAR(10),""),IF(D548&gt;0," * F01-14 for Age "&amp;D472&amp;" "&amp;D473&amp;" has a value greater than 0"&amp;CHAR(10),""),IF(E548&gt;0," * F01-14 for Age "&amp;D472&amp;" "&amp;E473&amp;" has a value greater than 0"&amp;CHAR(10),""),IF(D549&gt;0," * F01-15 for Age "&amp;D472&amp;" "&amp;D473&amp;" has a value greater than 0"&amp;CHAR(10),""),IF(E549&gt;0," * F01-15 for Age "&amp;D472&amp;" "&amp;E473&amp;" has a value greater than 0"&amp;CHAR(10),""),IF(D554&gt;0," * F01-20 for Age "&amp;D472&amp;" "&amp;D473&amp;" has a value greater than 0"&amp;CHAR(10),""),IF(E554&gt;0," * F01-20 for Age "&amp;D472&amp;" "&amp;E473&amp;" has a value greater than 0"&amp;CHAR(10),""),IF(D555&gt;0," * F01-21 for Age "&amp;D472&amp;" "&amp;D473&amp;" has a value greater than 0"&amp;CHAR(10),""),IF(E555&gt;0," * F01-21 for Age "&amp;D472&amp;" "&amp;E473&amp;" has a value greater than 0"&amp;CHAR(10),""),IF(D556&gt;0," * F01-22 for Age "&amp;D472&amp;" "&amp;D473&amp;" has a value greater than 0"&amp;CHAR(10),""),IF(E556&gt;0," * F01-22 for Age "&amp;D472&amp;" "&amp;E473&amp;" has a value greater than 0"&amp;CHAR(10),""),IF(D557&gt;0," * F01-23 for Age "&amp;D472&amp;" "&amp;D473&amp;" has a value greater than 0"&amp;CHAR(10),""),IF(E557&gt;0," * F01-23 for Age "&amp;D472&amp;" "&amp;E473&amp;" has a value greater than 0"&amp;CHAR(10),""),"")</f>
        <v/>
      </c>
      <c r="AN486" s="793"/>
      <c r="AO486" s="13">
        <v>33</v>
      </c>
      <c r="AP486" s="81"/>
      <c r="AQ486" s="82"/>
    </row>
    <row r="487" spans="1:43" s="83" customFormat="1" ht="27" thickBot="1" x14ac:dyDescent="0.45">
      <c r="A487" s="1401"/>
      <c r="B487" s="737" t="s">
        <v>1060</v>
      </c>
      <c r="C487" s="741" t="s">
        <v>1110</v>
      </c>
      <c r="D487" s="725"/>
      <c r="E487" s="753"/>
      <c r="F487" s="553"/>
      <c r="G487" s="549"/>
      <c r="H487" s="549"/>
      <c r="I487" s="549"/>
      <c r="J487" s="549"/>
      <c r="K487" s="549"/>
      <c r="L487" s="549"/>
      <c r="M487" s="549"/>
      <c r="N487" s="549"/>
      <c r="O487" s="549"/>
      <c r="P487" s="549"/>
      <c r="Q487" s="549"/>
      <c r="R487" s="549"/>
      <c r="S487" s="549"/>
      <c r="T487" s="549"/>
      <c r="U487" s="549"/>
      <c r="V487" s="549"/>
      <c r="W487" s="549"/>
      <c r="X487" s="549"/>
      <c r="Y487" s="549"/>
      <c r="Z487" s="489">
        <f t="shared" si="253"/>
        <v>0</v>
      </c>
      <c r="AA487" s="489">
        <f t="shared" si="254"/>
        <v>0</v>
      </c>
      <c r="AB487" s="549"/>
      <c r="AC487" s="732"/>
      <c r="AD487" s="549"/>
      <c r="AE487" s="732"/>
      <c r="AF487" s="549"/>
      <c r="AG487" s="732"/>
      <c r="AH487" s="549"/>
      <c r="AI487" s="732"/>
      <c r="AJ487" s="480">
        <f t="shared" si="243"/>
        <v>0</v>
      </c>
      <c r="AK487" s="470"/>
      <c r="AL487" s="1150"/>
      <c r="AM487" s="31" t="str">
        <f>CONCATENATE(IF(D486&gt;0," * F01-12 for Age "&amp;D473&amp;" "&amp;D474&amp;" has a value greater than 0"&amp;CHAR(10),""),IF(E486&gt;0," * F01-12 for Age "&amp;D473&amp;" "&amp;E474&amp;" has a value greater than 0"&amp;CHAR(10),""),IF(D487&gt;0," * F01-13 for Age "&amp;D473&amp;" "&amp;D474&amp;" has a value greater than 0"&amp;CHAR(10),""),IF(E487&gt;0," * F01-13 for Age "&amp;D473&amp;" "&amp;E474&amp;" has a value greater than 0"&amp;CHAR(10),""),IF(D549&gt;0," * F01-14 for Age "&amp;D473&amp;" "&amp;D474&amp;" has a value greater than 0"&amp;CHAR(10),""),IF(E549&gt;0," * F01-14 for Age "&amp;D473&amp;" "&amp;E474&amp;" has a value greater than 0"&amp;CHAR(10),""),IF(D550&gt;0," * F01-15 for Age "&amp;D473&amp;" "&amp;D474&amp;" has a value greater than 0"&amp;CHAR(10),""),IF(E550&gt;0," * F01-15 for Age "&amp;D473&amp;" "&amp;E474&amp;" has a value greater than 0"&amp;CHAR(10),""),IF(D555&gt;0," * F01-20 for Age "&amp;D473&amp;" "&amp;D474&amp;" has a value greater than 0"&amp;CHAR(10),""),IF(E555&gt;0," * F01-20 for Age "&amp;D473&amp;" "&amp;E474&amp;" has a value greater than 0"&amp;CHAR(10),""),IF(D556&gt;0," * F01-21 for Age "&amp;D473&amp;" "&amp;D474&amp;" has a value greater than 0"&amp;CHAR(10),""),IF(E556&gt;0," * F01-21 for Age "&amp;D473&amp;" "&amp;E474&amp;" has a value greater than 0"&amp;CHAR(10),""),IF(D557&gt;0," * F01-22 for Age "&amp;D473&amp;" "&amp;D474&amp;" has a value greater than 0"&amp;CHAR(10),""),IF(E557&gt;0," * F01-22 for Age "&amp;D473&amp;" "&amp;E474&amp;" has a value greater than 0"&amp;CHAR(10),""),IF(D558&gt;0," * F01-23 for Age "&amp;D473&amp;" "&amp;D474&amp;" has a value greater than 0"&amp;CHAR(10),""),IF(E558&gt;0," * F01-23 for Age "&amp;D473&amp;" "&amp;E474&amp;" has a value greater than 0"&amp;CHAR(10),""),"")</f>
        <v/>
      </c>
      <c r="AN487" s="793"/>
      <c r="AO487" s="13">
        <v>33</v>
      </c>
      <c r="AP487" s="81"/>
      <c r="AQ487" s="82"/>
    </row>
    <row r="488" spans="1:43" s="83" customFormat="1" ht="29.65" customHeight="1" x14ac:dyDescent="0.4">
      <c r="A488" s="1399" t="s">
        <v>1078</v>
      </c>
      <c r="B488" s="735" t="s">
        <v>138</v>
      </c>
      <c r="C488" s="739" t="s">
        <v>1111</v>
      </c>
      <c r="D488" s="722"/>
      <c r="E488" s="750"/>
      <c r="F488" s="743">
        <f>F295</f>
        <v>0</v>
      </c>
      <c r="G488" s="744"/>
      <c r="H488" s="733">
        <f t="shared" ref="H488:AI488" si="255">H295</f>
        <v>0</v>
      </c>
      <c r="I488" s="745">
        <f t="shared" si="255"/>
        <v>0</v>
      </c>
      <c r="J488" s="733">
        <f t="shared" si="255"/>
        <v>0</v>
      </c>
      <c r="K488" s="745">
        <f t="shared" si="255"/>
        <v>0</v>
      </c>
      <c r="L488" s="733">
        <f t="shared" si="255"/>
        <v>0</v>
      </c>
      <c r="M488" s="745">
        <f t="shared" si="255"/>
        <v>0</v>
      </c>
      <c r="N488" s="733">
        <f t="shared" si="255"/>
        <v>0</v>
      </c>
      <c r="O488" s="745">
        <f t="shared" si="255"/>
        <v>0</v>
      </c>
      <c r="P488" s="733">
        <f t="shared" si="255"/>
        <v>0</v>
      </c>
      <c r="Q488" s="745">
        <f t="shared" si="255"/>
        <v>0</v>
      </c>
      <c r="R488" s="733">
        <f t="shared" si="255"/>
        <v>0</v>
      </c>
      <c r="S488" s="745">
        <f t="shared" si="255"/>
        <v>0</v>
      </c>
      <c r="T488" s="733">
        <f t="shared" si="255"/>
        <v>0</v>
      </c>
      <c r="U488" s="745">
        <f t="shared" si="255"/>
        <v>0</v>
      </c>
      <c r="V488" s="733">
        <f t="shared" si="255"/>
        <v>0</v>
      </c>
      <c r="W488" s="745">
        <f t="shared" si="255"/>
        <v>0</v>
      </c>
      <c r="X488" s="733">
        <f t="shared" si="255"/>
        <v>0</v>
      </c>
      <c r="Y488" s="745">
        <f t="shared" si="255"/>
        <v>0</v>
      </c>
      <c r="Z488" s="733">
        <f t="shared" si="255"/>
        <v>0</v>
      </c>
      <c r="AA488" s="746">
        <f t="shared" si="255"/>
        <v>0</v>
      </c>
      <c r="AB488" s="733">
        <f t="shared" si="255"/>
        <v>0</v>
      </c>
      <c r="AC488" s="746">
        <f t="shared" si="255"/>
        <v>0</v>
      </c>
      <c r="AD488" s="733">
        <f t="shared" si="255"/>
        <v>0</v>
      </c>
      <c r="AE488" s="746">
        <f t="shared" si="255"/>
        <v>0</v>
      </c>
      <c r="AF488" s="733">
        <f t="shared" si="255"/>
        <v>0</v>
      </c>
      <c r="AG488" s="746">
        <f t="shared" si="255"/>
        <v>0</v>
      </c>
      <c r="AH488" s="733">
        <f t="shared" si="255"/>
        <v>0</v>
      </c>
      <c r="AI488" s="746">
        <f t="shared" si="255"/>
        <v>0</v>
      </c>
      <c r="AJ488" s="477">
        <f t="shared" si="243"/>
        <v>0</v>
      </c>
      <c r="AK488" s="545" t="str">
        <f>CONCATENATE(IF((D489+D490+D491+D492)&lt;&gt;D488," * "&amp;$A488&amp;" , "&amp;$B489&amp;" plus "&amp;$B490&amp;" plus "&amp;$B491&amp;" plus "&amp;$B492&amp;" For age "&amp;$D$20&amp;" "&amp;$D$21&amp;" should be equal to "&amp;$B488&amp;""&amp;CHAR(10),""),IF((E489+E490+E491+E492)&lt;&gt;E488," * "&amp;$A488&amp;" , "&amp;$B489&amp;" plus "&amp;$B490&amp;" plus "&amp;$B491&amp;" plus "&amp;$B492&amp;" For age "&amp;$D$20&amp;" "&amp;$E$21&amp;" should be equal to "&amp;$B488&amp;""&amp;CHAR(10),""),IF((F489+F490+F491+F492)&lt;&gt;F488," * "&amp;$A488&amp;" , "&amp;$B489&amp;" plus "&amp;$B490&amp;" plus "&amp;$B491&amp;" plus "&amp;$B492&amp;" For age "&amp;$F$20&amp;" "&amp;$F$21&amp;" should be equal to "&amp;$B488&amp;""&amp;CHAR(10),""),IF((G489+G490+G491+G492)&lt;&gt;G488," * "&amp;$A488&amp;" , "&amp;$B489&amp;" plus "&amp;$B490&amp;" plus "&amp;$B491&amp;" plus "&amp;$B492&amp;" For age "&amp;$F$20&amp;" "&amp;$G$21&amp;" should be equal to "&amp;$B488&amp;""&amp;CHAR(10),""),IF((H489+H490+H491+H492)&lt;&gt;H488," * "&amp;$A488&amp;" , "&amp;$B489&amp;" plus "&amp;$B490&amp;" plus "&amp;$B491&amp;" plus "&amp;$B492&amp;" For age "&amp;$H$20&amp;" "&amp;$H$21&amp;" should be equal to "&amp;$B488&amp;""&amp;CHAR(10),""),IF((I489+I490+I491+I492)&lt;&gt;I488," * "&amp;$A488&amp;" , "&amp;$B489&amp;" plus "&amp;$B490&amp;" plus "&amp;$B491&amp;" plus "&amp;$B492&amp;" For age "&amp;$H$20&amp;" "&amp;$I$21&amp;" should be equal to "&amp;$B488&amp;""&amp;CHAR(10),""),IF((J489+J490+J491+J492)&lt;&gt;J488," * "&amp;$A488&amp;" , "&amp;$B489&amp;" plus "&amp;$B490&amp;" plus "&amp;$B491&amp;" plus "&amp;$B492&amp;" For age "&amp;$J$20&amp;" "&amp;$J$21&amp;" should be equal to "&amp;$B488&amp;""&amp;CHAR(10),""),IF((K489+K490+K491+K492)&lt;&gt;K488," * "&amp;$A488&amp;" , "&amp;$B489&amp;" plus "&amp;$B490&amp;" plus "&amp;$B491&amp;" plus "&amp;$B492&amp;" For age "&amp;$J$20&amp;" "&amp;$K$21&amp;" should be equal to "&amp;$B488&amp;""&amp;CHAR(10),""),IF((L489+L490+L491+L492)&lt;&gt;L488," * "&amp;$A488&amp;" , "&amp;$B489&amp;" plus "&amp;$B490&amp;" plus "&amp;$B491&amp;" plus "&amp;$B492&amp;" For age "&amp;$L$20&amp;" "&amp;$L$21&amp;" should be equal to "&amp;$B488&amp;""&amp;CHAR(10),""),IF((M489+M490+M491+M492)&lt;&gt;M488," * "&amp;$A488&amp;" , "&amp;$B489&amp;" plus "&amp;$B490&amp;" plus "&amp;$B491&amp;" plus "&amp;$B492&amp;" For age "&amp;$L$20&amp;" "&amp;$M$21&amp;" should be equal to "&amp;$B488&amp;""&amp;CHAR(10),""),IF((N489+N490+N491+N492)&lt;&gt;N488," * "&amp;$A488&amp;" , "&amp;$B489&amp;" plus "&amp;$B490&amp;" plus "&amp;$B491&amp;" plus "&amp;$B492&amp;" For age "&amp;$N$20&amp;" "&amp;$N$21&amp;" should be equal to "&amp;$B488&amp;""&amp;CHAR(10),""),IF((O489+O490+O491+O492)&lt;&gt;O488," * "&amp;$A488&amp;" , "&amp;$B489&amp;" plus "&amp;$B490&amp;" plus "&amp;$B491&amp;" plus "&amp;$B492&amp;" For age "&amp;$N$20&amp;" "&amp;$O$21&amp;" should be equal to "&amp;$B488&amp;""&amp;CHAR(10),""),IF((P489+P490+P491+P492)&lt;&gt;P488," * "&amp;$A488&amp;" , "&amp;$B489&amp;" plus "&amp;$B490&amp;" plus "&amp;$B491&amp;" plus "&amp;$B492&amp;" For age "&amp;$P$20&amp;" "&amp;$P$21&amp;" should be equal to "&amp;$B488&amp;""&amp;CHAR(10),""),IF((Q489+Q490+Q491+Q492)&lt;&gt;Q488," * "&amp;$A488&amp;" , "&amp;$B489&amp;" plus "&amp;$B490&amp;" plus "&amp;$B491&amp;" plus "&amp;$B492&amp;" For age "&amp;$P$20&amp;" "&amp;$Q$21&amp;" should be equal to "&amp;$B488&amp;""&amp;CHAR(10),""),IF((R489+R490+R491+R492)&lt;&gt;R488," * "&amp;$A488&amp;" , "&amp;$B489&amp;" plus "&amp;$B490&amp;" plus "&amp;$B491&amp;" plus "&amp;$B492&amp;" For age "&amp;$R$20&amp;" "&amp;$R$21&amp;" should be equal to "&amp;$B488&amp;""&amp;CHAR(10),""),IF((S489+S490+S491+S492)&lt;&gt;S488," * "&amp;$A488&amp;" , "&amp;$B489&amp;" plus "&amp;$B490&amp;" plus "&amp;$B491&amp;" plus "&amp;$B492&amp;" For age "&amp;$R$20&amp;" "&amp;$S$21&amp;" should be equal to "&amp;$B488&amp;""&amp;CHAR(10),""),IF((T489+T490+T491+T492)&lt;&gt;T488," * "&amp;$A488&amp;" , "&amp;$B489&amp;" plus "&amp;$B490&amp;" plus "&amp;$B491&amp;" plus "&amp;$B492&amp;" For age "&amp;$T$20&amp;" "&amp;$T$21&amp;" should be equal to "&amp;$B488&amp;""&amp;CHAR(10),""),IF((U489+U490+U491+U492)&lt;&gt;U488," * "&amp;$A488&amp;" , "&amp;$B489&amp;" plus "&amp;$B490&amp;" plus "&amp;$B491&amp;" plus "&amp;$B492&amp;" For age "&amp;$T$20&amp;" "&amp;$U$21&amp;" should be equal to "&amp;$B488&amp;""&amp;CHAR(10),""),IF((V489+V490+V491+V492)&lt;&gt;V488," * "&amp;$A488&amp;" , "&amp;$B489&amp;" plus "&amp;$B490&amp;" plus "&amp;$B491&amp;" plus "&amp;$B492&amp;" For age "&amp;$V$20&amp;" "&amp;$V$21&amp;" should be equal to "&amp;$B488&amp;""&amp;CHAR(10),""),IF((W489+W490+W491+W492)&lt;&gt;W488," * "&amp;$A488&amp;" , "&amp;$B489&amp;" plus "&amp;$B490&amp;" plus "&amp;$B491&amp;" plus "&amp;$B492&amp;" For age "&amp;$V$20&amp;" "&amp;$W$21&amp;" should be equal to "&amp;$B488&amp;""&amp;CHAR(10),""),IF((X489+X490+X491+X492)&lt;&gt;X488," * "&amp;$A488&amp;" , "&amp;$B489&amp;" plus "&amp;$B490&amp;" plus "&amp;$B491&amp;" plus "&amp;$B492&amp;" For age "&amp;$X$20&amp;" "&amp;$X$21&amp;" should be equal to "&amp;$B488&amp;""&amp;CHAR(10),""),IF((Y489+Y490+Y491+Y492)&lt;&gt;Y488," * "&amp;$A488&amp;" , "&amp;$B489&amp;" plus "&amp;$B490&amp;" plus "&amp;$B491&amp;" plus "&amp;$B492&amp;" For age "&amp;$X$20&amp;" "&amp;$Y$21&amp;" should be equal to "&amp;$B488&amp;""&amp;CHAR(10),""),IF((Z489+Z490+Z491+Z492)&lt;&gt;Z488," * "&amp;$A488&amp;" , "&amp;$B489&amp;" plus "&amp;$B490&amp;" plus "&amp;$B491&amp;" plus "&amp;$B492&amp;" For age "&amp;$Z$20&amp;" "&amp;$Z$21&amp;" should be equal to "&amp;$B488&amp;""&amp;CHAR(10),""),IF((AA489+AA490+AA491+AA492)&lt;&gt;AA488," * "&amp;$A488&amp;" , "&amp;$B489&amp;" plus "&amp;$B490&amp;" plus "&amp;$B491&amp;" plus "&amp;$B492&amp;" For age "&amp;$Z$20&amp;" "&amp;$AA$21&amp;" should be equal to "&amp;$B488&amp;""&amp;CHAR(10),""))</f>
        <v/>
      </c>
      <c r="AL488" s="1150"/>
      <c r="AM488" s="31"/>
      <c r="AN488" s="793"/>
      <c r="AO488" s="13">
        <v>31</v>
      </c>
      <c r="AP488" s="81"/>
      <c r="AQ488" s="82"/>
    </row>
    <row r="489" spans="1:43" s="83" customFormat="1" ht="26.25" x14ac:dyDescent="0.4">
      <c r="A489" s="1400"/>
      <c r="B489" s="736" t="s">
        <v>1075</v>
      </c>
      <c r="C489" s="740" t="s">
        <v>1112</v>
      </c>
      <c r="D489" s="625"/>
      <c r="E489" s="751"/>
      <c r="F489" s="738"/>
      <c r="G489" s="551"/>
      <c r="H489" s="716"/>
      <c r="I489" s="481"/>
      <c r="J489" s="716"/>
      <c r="K489" s="481"/>
      <c r="L489" s="716"/>
      <c r="M489" s="481"/>
      <c r="N489" s="716"/>
      <c r="O489" s="481"/>
      <c r="P489" s="716"/>
      <c r="Q489" s="481"/>
      <c r="R489" s="716"/>
      <c r="S489" s="481"/>
      <c r="T489" s="716"/>
      <c r="U489" s="481"/>
      <c r="V489" s="716"/>
      <c r="W489" s="481"/>
      <c r="X489" s="716"/>
      <c r="Y489" s="481"/>
      <c r="Z489" s="716"/>
      <c r="AA489" s="489">
        <f>SUM(AC489,AE489,AG489,AI489)</f>
        <v>0</v>
      </c>
      <c r="AB489" s="716"/>
      <c r="AC489" s="730"/>
      <c r="AD489" s="716"/>
      <c r="AE489" s="730"/>
      <c r="AF489" s="716"/>
      <c r="AG489" s="730"/>
      <c r="AH489" s="716"/>
      <c r="AI489" s="730"/>
      <c r="AJ489" s="478">
        <f t="shared" si="243"/>
        <v>0</v>
      </c>
      <c r="AK489" s="1216"/>
      <c r="AL489" s="1150"/>
      <c r="AM489" s="31" t="str">
        <f>CONCATENATE(IF(AND(IFERROR((AJ490*100)/AJ489,0)&gt;10,AJ490&gt;5)," * This facility has a high positivity rate for Index Testing. Kindly confirm if this is the true reflection"&amp;CHAR(10),""),"")</f>
        <v/>
      </c>
      <c r="AN489" s="793"/>
      <c r="AO489" s="13">
        <v>32</v>
      </c>
      <c r="AP489" s="81"/>
      <c r="AQ489" s="82"/>
    </row>
    <row r="490" spans="1:43" s="83" customFormat="1" ht="26.25" x14ac:dyDescent="0.4">
      <c r="A490" s="1400"/>
      <c r="B490" s="736" t="s">
        <v>1056</v>
      </c>
      <c r="C490" s="740" t="s">
        <v>1113</v>
      </c>
      <c r="D490" s="724"/>
      <c r="E490" s="752"/>
      <c r="F490" s="738"/>
      <c r="G490" s="551"/>
      <c r="H490" s="716"/>
      <c r="I490" s="481"/>
      <c r="J490" s="716"/>
      <c r="K490" s="481"/>
      <c r="L490" s="716"/>
      <c r="M490" s="481"/>
      <c r="N490" s="716"/>
      <c r="O490" s="481"/>
      <c r="P490" s="716"/>
      <c r="Q490" s="481"/>
      <c r="R490" s="716"/>
      <c r="S490" s="481"/>
      <c r="T490" s="716"/>
      <c r="U490" s="481"/>
      <c r="V490" s="716"/>
      <c r="W490" s="481"/>
      <c r="X490" s="716"/>
      <c r="Y490" s="481"/>
      <c r="Z490" s="716"/>
      <c r="AA490" s="489">
        <f t="shared" si="254"/>
        <v>0</v>
      </c>
      <c r="AB490" s="716"/>
      <c r="AC490" s="730"/>
      <c r="AD490" s="716"/>
      <c r="AE490" s="730"/>
      <c r="AF490" s="716"/>
      <c r="AG490" s="730"/>
      <c r="AH490" s="716"/>
      <c r="AI490" s="730"/>
      <c r="AJ490" s="479">
        <f t="shared" si="243"/>
        <v>0</v>
      </c>
      <c r="AK490" s="1216"/>
      <c r="AL490" s="1150"/>
      <c r="AM490" s="31" t="e">
        <f>CONCATENATE(IF(D489&gt;0," * F01-12 for Age "&amp;D476&amp;" "&amp;D477&amp;" has a value greater than 0"&amp;CHAR(10),""),IF(E489&gt;0," * F01-12 for Age "&amp;D476&amp;" "&amp;E477&amp;" has a value greater than 0"&amp;CHAR(10),""),IF(D490&gt;0," * F01-13 for Age "&amp;D476&amp;" "&amp;D477&amp;" has a value greater than 0"&amp;CHAR(10),""),IF(E490&gt;0," * F01-13 for Age "&amp;D476&amp;" "&amp;E477&amp;" has a value greater than 0"&amp;CHAR(10),""),IF(#REF!&gt;0," * F01-14 for Age "&amp;D476&amp;" "&amp;D477&amp;" has a value greater than 0"&amp;CHAR(10),""),IF(#REF!&gt;0," * F01-14 for Age "&amp;D476&amp;" "&amp;E477&amp;" has a value greater than 0"&amp;CHAR(10),""),IF(D553&gt;0," * F01-15 for Age "&amp;D476&amp;" "&amp;D477&amp;" has a value greater than 0"&amp;CHAR(10),""),IF(E553&gt;0," * F01-15 for Age "&amp;D476&amp;" "&amp;E477&amp;" has a value greater than 0"&amp;CHAR(10),""),IF(D558&gt;0," * F01-20 for Age "&amp;D476&amp;" "&amp;D477&amp;" has a value greater than 0"&amp;CHAR(10),""),IF(E558&gt;0," * F01-20 for Age "&amp;D476&amp;" "&amp;E477&amp;" has a value greater than 0"&amp;CHAR(10),""),IF(D559&gt;0," * F01-21 for Age "&amp;D476&amp;" "&amp;D477&amp;" has a value greater than 0"&amp;CHAR(10),""),IF(E559&gt;0," * F01-21 for Age "&amp;D476&amp;" "&amp;E477&amp;" has a value greater than 0"&amp;CHAR(10),""),IF(D560&gt;0," * F01-22 for Age "&amp;D476&amp;" "&amp;D477&amp;" has a value greater than 0"&amp;CHAR(10),""),IF(E560&gt;0," * F01-22 for Age "&amp;D476&amp;" "&amp;E477&amp;" has a value greater than 0"&amp;CHAR(10),""),IF(D561&gt;0," * F01-23 for Age "&amp;D476&amp;" "&amp;D477&amp;" has a value greater than 0"&amp;CHAR(10),""),IF(E561&gt;0," * F01-23 for Age "&amp;D476&amp;" "&amp;E477&amp;" has a value greater than 0"&amp;CHAR(10),""),"")</f>
        <v>#REF!</v>
      </c>
      <c r="AN490" s="793"/>
      <c r="AO490" s="13">
        <v>33</v>
      </c>
      <c r="AP490" s="81"/>
      <c r="AQ490" s="82"/>
    </row>
    <row r="491" spans="1:43" s="83" customFormat="1" ht="26.25" x14ac:dyDescent="0.4">
      <c r="A491" s="1400"/>
      <c r="B491" s="736" t="s">
        <v>1058</v>
      </c>
      <c r="C491" s="740" t="s">
        <v>1114</v>
      </c>
      <c r="D491" s="724"/>
      <c r="E491" s="752"/>
      <c r="F491" s="738"/>
      <c r="G491" s="551"/>
      <c r="H491" s="716"/>
      <c r="I491" s="481"/>
      <c r="J491" s="716"/>
      <c r="K491" s="481"/>
      <c r="L491" s="716"/>
      <c r="M491" s="481"/>
      <c r="N491" s="716"/>
      <c r="O491" s="481"/>
      <c r="P491" s="716"/>
      <c r="Q491" s="481"/>
      <c r="R491" s="716"/>
      <c r="S491" s="481"/>
      <c r="T491" s="716"/>
      <c r="U491" s="481"/>
      <c r="V491" s="716"/>
      <c r="W491" s="481"/>
      <c r="X491" s="716"/>
      <c r="Y491" s="481"/>
      <c r="Z491" s="716"/>
      <c r="AA491" s="489">
        <f t="shared" si="254"/>
        <v>0</v>
      </c>
      <c r="AB491" s="716"/>
      <c r="AC491" s="730"/>
      <c r="AD491" s="716"/>
      <c r="AE491" s="730"/>
      <c r="AF491" s="716"/>
      <c r="AG491" s="730"/>
      <c r="AH491" s="716"/>
      <c r="AI491" s="730"/>
      <c r="AJ491" s="479">
        <f t="shared" si="243"/>
        <v>0</v>
      </c>
      <c r="AK491" s="470"/>
      <c r="AL491" s="1150"/>
      <c r="AM491" s="31" t="str">
        <f>CONCATENATE(IF(D490&gt;0," * F01-12 for Age "&amp;D477&amp;" "&amp;D478&amp;" has a value greater than 0"&amp;CHAR(10),""),IF(E490&gt;0," * F01-12 for Age "&amp;D477&amp;" "&amp;E478&amp;" has a value greater than 0"&amp;CHAR(10),""),IF(D491&gt;0," * F01-13 for Age "&amp;D477&amp;" "&amp;D478&amp;" has a value greater than 0"&amp;CHAR(10),""),IF(E491&gt;0," * F01-13 for Age "&amp;D477&amp;" "&amp;E478&amp;" has a value greater than 0"&amp;CHAR(10),""),IF(D553&gt;0," * F01-14 for Age "&amp;D477&amp;" "&amp;D478&amp;" has a value greater than 0"&amp;CHAR(10),""),IF(E553&gt;0," * F01-14 for Age "&amp;D477&amp;" "&amp;E478&amp;" has a value greater than 0"&amp;CHAR(10),""),IF(D554&gt;0," * F01-15 for Age "&amp;D477&amp;" "&amp;D478&amp;" has a value greater than 0"&amp;CHAR(10),""),IF(E554&gt;0," * F01-15 for Age "&amp;D477&amp;" "&amp;E478&amp;" has a value greater than 0"&amp;CHAR(10),""),IF(D559&gt;0," * F01-20 for Age "&amp;D477&amp;" "&amp;D478&amp;" has a value greater than 0"&amp;CHAR(10),""),IF(E559&gt;0," * F01-20 for Age "&amp;D477&amp;" "&amp;E478&amp;" has a value greater than 0"&amp;CHAR(10),""),IF(D560&gt;0," * F01-21 for Age "&amp;D477&amp;" "&amp;D478&amp;" has a value greater than 0"&amp;CHAR(10),""),IF(E560&gt;0," * F01-21 for Age "&amp;D477&amp;" "&amp;E478&amp;" has a value greater than 0"&amp;CHAR(10),""),IF(D561&gt;0," * F01-22 for Age "&amp;D477&amp;" "&amp;D478&amp;" has a value greater than 0"&amp;CHAR(10),""),IF(E561&gt;0," * F01-22 for Age "&amp;D477&amp;" "&amp;E478&amp;" has a value greater than 0"&amp;CHAR(10),""),IF(D562&gt;0," * F01-23 for Age "&amp;D477&amp;" "&amp;D478&amp;" has a value greater than 0"&amp;CHAR(10),""),IF(E562&gt;0," * F01-23 for Age "&amp;D477&amp;" "&amp;E478&amp;" has a value greater than 0"&amp;CHAR(10),""),"")</f>
        <v/>
      </c>
      <c r="AN491" s="793"/>
      <c r="AO491" s="13">
        <v>33</v>
      </c>
      <c r="AP491" s="81"/>
      <c r="AQ491" s="82"/>
    </row>
    <row r="492" spans="1:43" s="83" customFormat="1" ht="27" thickBot="1" x14ac:dyDescent="0.45">
      <c r="A492" s="1401"/>
      <c r="B492" s="737" t="s">
        <v>1060</v>
      </c>
      <c r="C492" s="741" t="s">
        <v>1115</v>
      </c>
      <c r="D492" s="725"/>
      <c r="E492" s="753"/>
      <c r="F492" s="742"/>
      <c r="G492" s="757"/>
      <c r="H492" s="721"/>
      <c r="I492" s="715"/>
      <c r="J492" s="721"/>
      <c r="K492" s="715"/>
      <c r="L492" s="721"/>
      <c r="M492" s="715"/>
      <c r="N492" s="721"/>
      <c r="O492" s="715"/>
      <c r="P492" s="721"/>
      <c r="Q492" s="715"/>
      <c r="R492" s="721"/>
      <c r="S492" s="715"/>
      <c r="T492" s="721"/>
      <c r="U492" s="715"/>
      <c r="V492" s="721"/>
      <c r="W492" s="715"/>
      <c r="X492" s="721"/>
      <c r="Y492" s="715"/>
      <c r="Z492" s="721"/>
      <c r="AA492" s="489">
        <f t="shared" si="254"/>
        <v>0</v>
      </c>
      <c r="AB492" s="721"/>
      <c r="AC492" s="758"/>
      <c r="AD492" s="721"/>
      <c r="AE492" s="758"/>
      <c r="AF492" s="721"/>
      <c r="AG492" s="758"/>
      <c r="AH492" s="721"/>
      <c r="AI492" s="758"/>
      <c r="AJ492" s="480">
        <f t="shared" si="243"/>
        <v>0</v>
      </c>
      <c r="AK492" s="470"/>
      <c r="AL492" s="1150"/>
      <c r="AM492" s="31" t="str">
        <f>CONCATENATE(IF(D491&gt;0," * F01-12 for Age "&amp;D478&amp;" "&amp;D479&amp;" has a value greater than 0"&amp;CHAR(10),""),IF(E491&gt;0," * F01-12 for Age "&amp;D478&amp;" "&amp;E479&amp;" has a value greater than 0"&amp;CHAR(10),""),IF(D492&gt;0," * F01-13 for Age "&amp;D478&amp;" "&amp;D479&amp;" has a value greater than 0"&amp;CHAR(10),""),IF(E492&gt;0," * F01-13 for Age "&amp;D478&amp;" "&amp;E479&amp;" has a value greater than 0"&amp;CHAR(10),""),IF(D554&gt;0," * F01-14 for Age "&amp;D478&amp;" "&amp;D479&amp;" has a value greater than 0"&amp;CHAR(10),""),IF(E554&gt;0," * F01-14 for Age "&amp;D478&amp;" "&amp;E479&amp;" has a value greater than 0"&amp;CHAR(10),""),IF(D555&gt;0," * F01-15 for Age "&amp;D478&amp;" "&amp;D479&amp;" has a value greater than 0"&amp;CHAR(10),""),IF(E555&gt;0," * F01-15 for Age "&amp;D478&amp;" "&amp;E479&amp;" has a value greater than 0"&amp;CHAR(10),""),IF(D560&gt;0," * F01-20 for Age "&amp;D478&amp;" "&amp;D479&amp;" has a value greater than 0"&amp;CHAR(10),""),IF(E560&gt;0," * F01-20 for Age "&amp;D478&amp;" "&amp;E479&amp;" has a value greater than 0"&amp;CHAR(10),""),IF(D561&gt;0," * F01-21 for Age "&amp;D478&amp;" "&amp;D479&amp;" has a value greater than 0"&amp;CHAR(10),""),IF(E561&gt;0," * F01-21 for Age "&amp;D478&amp;" "&amp;E479&amp;" has a value greater than 0"&amp;CHAR(10),""),IF(D562&gt;0," * F01-22 for Age "&amp;D478&amp;" "&amp;D479&amp;" has a value greater than 0"&amp;CHAR(10),""),IF(E562&gt;0," * F01-22 for Age "&amp;D478&amp;" "&amp;E479&amp;" has a value greater than 0"&amp;CHAR(10),""),IF(D563&gt;0," * F01-23 for Age "&amp;D478&amp;" "&amp;D479&amp;" has a value greater than 0"&amp;CHAR(10),""),IF(E563&gt;0," * F01-23 for Age "&amp;D478&amp;" "&amp;E479&amp;" has a value greater than 0"&amp;CHAR(10),""),"")</f>
        <v/>
      </c>
      <c r="AN492" s="793"/>
      <c r="AO492" s="13">
        <v>33</v>
      </c>
      <c r="AP492" s="81"/>
      <c r="AQ492" s="82"/>
    </row>
    <row r="493" spans="1:43" s="83" customFormat="1" ht="26.25" x14ac:dyDescent="0.4">
      <c r="A493" s="1399" t="s">
        <v>1079</v>
      </c>
      <c r="B493" s="735" t="s">
        <v>138</v>
      </c>
      <c r="C493" s="739" t="s">
        <v>1116</v>
      </c>
      <c r="D493" s="722"/>
      <c r="E493" s="750"/>
      <c r="F493" s="722">
        <f>F299+F301+F303+F305+F307+F309+F311</f>
        <v>0</v>
      </c>
      <c r="G493" s="734">
        <f t="shared" ref="G493:AI493" si="256">G299+G301+G303+G305+G307+G309+G311+G313</f>
        <v>0</v>
      </c>
      <c r="H493" s="734">
        <f t="shared" si="256"/>
        <v>0</v>
      </c>
      <c r="I493" s="734">
        <f t="shared" si="256"/>
        <v>0</v>
      </c>
      <c r="J493" s="734">
        <f t="shared" si="256"/>
        <v>0</v>
      </c>
      <c r="K493" s="734">
        <f t="shared" si="256"/>
        <v>0</v>
      </c>
      <c r="L493" s="734">
        <f t="shared" si="256"/>
        <v>0</v>
      </c>
      <c r="M493" s="734">
        <f t="shared" si="256"/>
        <v>0</v>
      </c>
      <c r="N493" s="734">
        <f t="shared" si="256"/>
        <v>0</v>
      </c>
      <c r="O493" s="734">
        <f t="shared" si="256"/>
        <v>0</v>
      </c>
      <c r="P493" s="734">
        <f t="shared" si="256"/>
        <v>0</v>
      </c>
      <c r="Q493" s="734">
        <f t="shared" si="256"/>
        <v>0</v>
      </c>
      <c r="R493" s="734">
        <f t="shared" si="256"/>
        <v>0</v>
      </c>
      <c r="S493" s="734">
        <f t="shared" si="256"/>
        <v>0</v>
      </c>
      <c r="T493" s="734">
        <f t="shared" si="256"/>
        <v>0</v>
      </c>
      <c r="U493" s="734">
        <f t="shared" si="256"/>
        <v>0</v>
      </c>
      <c r="V493" s="734">
        <f t="shared" si="256"/>
        <v>0</v>
      </c>
      <c r="W493" s="734">
        <f t="shared" si="256"/>
        <v>0</v>
      </c>
      <c r="X493" s="734">
        <f t="shared" si="256"/>
        <v>0</v>
      </c>
      <c r="Y493" s="734">
        <f t="shared" si="256"/>
        <v>0</v>
      </c>
      <c r="Z493" s="734">
        <f t="shared" si="256"/>
        <v>0</v>
      </c>
      <c r="AA493" s="734">
        <f t="shared" si="256"/>
        <v>0</v>
      </c>
      <c r="AB493" s="734">
        <f t="shared" si="256"/>
        <v>0</v>
      </c>
      <c r="AC493" s="734">
        <f t="shared" si="256"/>
        <v>0</v>
      </c>
      <c r="AD493" s="734">
        <f t="shared" si="256"/>
        <v>0</v>
      </c>
      <c r="AE493" s="734">
        <f t="shared" si="256"/>
        <v>0</v>
      </c>
      <c r="AF493" s="734">
        <f t="shared" si="256"/>
        <v>0</v>
      </c>
      <c r="AG493" s="734">
        <f t="shared" si="256"/>
        <v>0</v>
      </c>
      <c r="AH493" s="734">
        <f t="shared" si="256"/>
        <v>0</v>
      </c>
      <c r="AI493" s="734">
        <f t="shared" si="256"/>
        <v>0</v>
      </c>
      <c r="AJ493" s="477">
        <f t="shared" si="243"/>
        <v>0</v>
      </c>
      <c r="AK493" s="545" t="str">
        <f>CONCATENATE(IF((D494+D495+D496+D497)&lt;&gt;D493," * "&amp;$A493&amp;" , "&amp;$B494&amp;" plus "&amp;$B495&amp;" plus "&amp;$B496&amp;" plus "&amp;$B497&amp;" For age "&amp;$D$20&amp;" "&amp;$D$21&amp;" should be equal to "&amp;$B493&amp;""&amp;CHAR(10),""),IF((E494+E495+E496+E497)&lt;&gt;E493," * "&amp;$A493&amp;" , "&amp;$B494&amp;" plus "&amp;$B495&amp;" plus "&amp;$B496&amp;" plus "&amp;$B497&amp;" For age "&amp;$D$20&amp;" "&amp;$E$21&amp;" should be equal to "&amp;$B493&amp;""&amp;CHAR(10),""),IF((F494+F495+F496+F497)&lt;&gt;F493," * "&amp;$A493&amp;" , "&amp;$B494&amp;" plus "&amp;$B495&amp;" plus "&amp;$B496&amp;" plus "&amp;$B497&amp;" For age "&amp;$F$20&amp;" "&amp;$F$21&amp;" should be equal to "&amp;$B493&amp;""&amp;CHAR(10),""),IF((G494+G495+G496+G497)&lt;&gt;G493," * "&amp;$A493&amp;" , "&amp;$B494&amp;" plus "&amp;$B495&amp;" plus "&amp;$B496&amp;" plus "&amp;$B497&amp;" For age "&amp;$F$20&amp;" "&amp;$G$21&amp;" should be equal to "&amp;$B493&amp;""&amp;CHAR(10),""),IF((H494+H495+H496+H497)&lt;&gt;H493," * "&amp;$A493&amp;" , "&amp;$B494&amp;" plus "&amp;$B495&amp;" plus "&amp;$B496&amp;" plus "&amp;$B497&amp;" For age "&amp;$H$20&amp;" "&amp;$H$21&amp;" should be equal to "&amp;$B493&amp;""&amp;CHAR(10),""),IF((I494+I495+I496+I497)&lt;&gt;I493," * "&amp;$A493&amp;" , "&amp;$B494&amp;" plus "&amp;$B495&amp;" plus "&amp;$B496&amp;" plus "&amp;$B497&amp;" For age "&amp;$H$20&amp;" "&amp;$I$21&amp;" should be equal to "&amp;$B493&amp;""&amp;CHAR(10),""),IF((J494+J495+J496+J497)&lt;&gt;J493," * "&amp;$A493&amp;" , "&amp;$B494&amp;" plus "&amp;$B495&amp;" plus "&amp;$B496&amp;" plus "&amp;$B497&amp;" For age "&amp;$J$20&amp;" "&amp;$J$21&amp;" should be equal to "&amp;$B493&amp;""&amp;CHAR(10),""),IF((K494+K495+K496+K497)&lt;&gt;K493," * "&amp;$A493&amp;" , "&amp;$B494&amp;" plus "&amp;$B495&amp;" plus "&amp;$B496&amp;" plus "&amp;$B497&amp;" For age "&amp;$J$20&amp;" "&amp;$K$21&amp;" should be equal to "&amp;$B493&amp;""&amp;CHAR(10),""),IF((L494+L495+L496+L497)&lt;&gt;L493," * "&amp;$A493&amp;" , "&amp;$B494&amp;" plus "&amp;$B495&amp;" plus "&amp;$B496&amp;" plus "&amp;$B497&amp;" For age "&amp;$L$20&amp;" "&amp;$L$21&amp;" should be equal to "&amp;$B493&amp;""&amp;CHAR(10),""),IF((M494+M495+M496+M497)&lt;&gt;M493," * "&amp;$A493&amp;" , "&amp;$B494&amp;" plus "&amp;$B495&amp;" plus "&amp;$B496&amp;" plus "&amp;$B497&amp;" For age "&amp;$L$20&amp;" "&amp;$M$21&amp;" should be equal to "&amp;$B493&amp;""&amp;CHAR(10),""),IF((N494+N495+N496+N497)&lt;&gt;N493," * "&amp;$A493&amp;" , "&amp;$B494&amp;" plus "&amp;$B495&amp;" plus "&amp;$B496&amp;" plus "&amp;$B497&amp;" For age "&amp;$N$20&amp;" "&amp;$N$21&amp;" should be equal to "&amp;$B493&amp;""&amp;CHAR(10),""),IF((O494+O495+O496+O497)&lt;&gt;O493," * "&amp;$A493&amp;" , "&amp;$B494&amp;" plus "&amp;$B495&amp;" plus "&amp;$B496&amp;" plus "&amp;$B497&amp;" For age "&amp;$N$20&amp;" "&amp;$O$21&amp;" should be equal to "&amp;$B493&amp;""&amp;CHAR(10),""),IF((P494+P495+P496+P497)&lt;&gt;P493," * "&amp;$A493&amp;" , "&amp;$B494&amp;" plus "&amp;$B495&amp;" plus "&amp;$B496&amp;" plus "&amp;$B497&amp;" For age "&amp;$P$20&amp;" "&amp;$P$21&amp;" should be equal to "&amp;$B493&amp;""&amp;CHAR(10),""),IF((Q494+Q495+Q496+Q497)&lt;&gt;Q493," * "&amp;$A493&amp;" , "&amp;$B494&amp;" plus "&amp;$B495&amp;" plus "&amp;$B496&amp;" plus "&amp;$B497&amp;" For age "&amp;$P$20&amp;" "&amp;$Q$21&amp;" should be equal to "&amp;$B493&amp;""&amp;CHAR(10),""),IF((R494+R495+R496+R497)&lt;&gt;R493," * "&amp;$A493&amp;" , "&amp;$B494&amp;" plus "&amp;$B495&amp;" plus "&amp;$B496&amp;" plus "&amp;$B497&amp;" For age "&amp;$R$20&amp;" "&amp;$R$21&amp;" should be equal to "&amp;$B493&amp;""&amp;CHAR(10),""),IF((S494+S495+S496+S497)&lt;&gt;S493," * "&amp;$A493&amp;" , "&amp;$B494&amp;" plus "&amp;$B495&amp;" plus "&amp;$B496&amp;" plus "&amp;$B497&amp;" For age "&amp;$R$20&amp;" "&amp;$S$21&amp;" should be equal to "&amp;$B493&amp;""&amp;CHAR(10),""),IF((T494+T495+T496+T497)&lt;&gt;T493," * "&amp;$A493&amp;" , "&amp;$B494&amp;" plus "&amp;$B495&amp;" plus "&amp;$B496&amp;" plus "&amp;$B497&amp;" For age "&amp;$T$20&amp;" "&amp;$T$21&amp;" should be equal to "&amp;$B493&amp;""&amp;CHAR(10),""),IF((U494+U495+U496+U497)&lt;&gt;U493," * "&amp;$A493&amp;" , "&amp;$B494&amp;" plus "&amp;$B495&amp;" plus "&amp;$B496&amp;" plus "&amp;$B497&amp;" For age "&amp;$T$20&amp;" "&amp;$U$21&amp;" should be equal to "&amp;$B493&amp;""&amp;CHAR(10),""),IF((V494+V495+V496+V497)&lt;&gt;V493," * "&amp;$A493&amp;" , "&amp;$B494&amp;" plus "&amp;$B495&amp;" plus "&amp;$B496&amp;" plus "&amp;$B497&amp;" For age "&amp;$V$20&amp;" "&amp;$V$21&amp;" should be equal to "&amp;$B493&amp;""&amp;CHAR(10),""),IF((W494+W495+W496+W497)&lt;&gt;W493," * "&amp;$A493&amp;" , "&amp;$B494&amp;" plus "&amp;$B495&amp;" plus "&amp;$B496&amp;" plus "&amp;$B497&amp;" For age "&amp;$V$20&amp;" "&amp;$W$21&amp;" should be equal to "&amp;$B493&amp;""&amp;CHAR(10),""),IF((X494+X495+X496+X497)&lt;&gt;X493," * "&amp;$A493&amp;" , "&amp;$B494&amp;" plus "&amp;$B495&amp;" plus "&amp;$B496&amp;" plus "&amp;$B497&amp;" For age "&amp;$X$20&amp;" "&amp;$X$21&amp;" should be equal to "&amp;$B493&amp;""&amp;CHAR(10),""),IF((Y494+Y495+Y496+Y497)&lt;&gt;Y493," * "&amp;$A493&amp;" , "&amp;$B494&amp;" plus "&amp;$B495&amp;" plus "&amp;$B496&amp;" plus "&amp;$B497&amp;" For age "&amp;$X$20&amp;" "&amp;$Y$21&amp;" should be equal to "&amp;$B493&amp;""&amp;CHAR(10),""),IF((Z494+Z495+Z496+Z497)&lt;&gt;Z493," * "&amp;$A493&amp;" , "&amp;$B494&amp;" plus "&amp;$B495&amp;" plus "&amp;$B496&amp;" plus "&amp;$B497&amp;" For age "&amp;$Z$20&amp;" "&amp;$Z$21&amp;" should be equal to "&amp;$B493&amp;""&amp;CHAR(10),""),IF((AA494+AA495+AA496+AA497)&lt;&gt;AA493," * "&amp;$A493&amp;" , "&amp;$B494&amp;" plus "&amp;$B495&amp;" plus "&amp;$B496&amp;" plus "&amp;$B497&amp;" For age "&amp;$Z$20&amp;" "&amp;$AA$21&amp;" should be equal to "&amp;$B493&amp;""&amp;CHAR(10),""))</f>
        <v/>
      </c>
      <c r="AL493" s="1150"/>
      <c r="AM493" s="31"/>
      <c r="AN493" s="793"/>
      <c r="AO493" s="13">
        <v>31</v>
      </c>
      <c r="AP493" s="81"/>
      <c r="AQ493" s="82"/>
    </row>
    <row r="494" spans="1:43" s="83" customFormat="1" ht="26.25" x14ac:dyDescent="0.4">
      <c r="A494" s="1400"/>
      <c r="B494" s="736" t="s">
        <v>1075</v>
      </c>
      <c r="C494" s="740" t="s">
        <v>1117</v>
      </c>
      <c r="D494" s="625"/>
      <c r="E494" s="751"/>
      <c r="F494" s="724"/>
      <c r="G494" s="551"/>
      <c r="H494" s="716"/>
      <c r="I494" s="481"/>
      <c r="J494" s="716"/>
      <c r="K494" s="481"/>
      <c r="L494" s="716"/>
      <c r="M494" s="481"/>
      <c r="N494" s="716"/>
      <c r="O494" s="481"/>
      <c r="P494" s="716"/>
      <c r="Q494" s="481"/>
      <c r="R494" s="716"/>
      <c r="S494" s="481"/>
      <c r="T494" s="716"/>
      <c r="U494" s="481"/>
      <c r="V494" s="716"/>
      <c r="W494" s="481"/>
      <c r="X494" s="716"/>
      <c r="Y494" s="481"/>
      <c r="Z494" s="716"/>
      <c r="AA494" s="489">
        <f t="shared" si="254"/>
        <v>0</v>
      </c>
      <c r="AB494" s="716"/>
      <c r="AC494" s="730"/>
      <c r="AD494" s="716"/>
      <c r="AE494" s="730"/>
      <c r="AF494" s="716"/>
      <c r="AG494" s="730"/>
      <c r="AH494" s="716"/>
      <c r="AI494" s="730"/>
      <c r="AJ494" s="478">
        <f t="shared" si="243"/>
        <v>0</v>
      </c>
      <c r="AK494" s="1216"/>
      <c r="AL494" s="1150"/>
      <c r="AM494" s="31" t="str">
        <f>CONCATENATE(IF(AND(IFERROR((AJ495*100)/AJ494,0)&gt;10,AJ495&gt;5)," * This facility has a high positivity rate for Index Testing. Kindly confirm if this is the true reflection"&amp;CHAR(10),""),"")</f>
        <v/>
      </c>
      <c r="AN494" s="793"/>
      <c r="AO494" s="13">
        <v>32</v>
      </c>
      <c r="AP494" s="81"/>
      <c r="AQ494" s="82"/>
    </row>
    <row r="495" spans="1:43" s="83" customFormat="1" ht="26.25" x14ac:dyDescent="0.4">
      <c r="A495" s="1400"/>
      <c r="B495" s="736" t="s">
        <v>1056</v>
      </c>
      <c r="C495" s="740" t="s">
        <v>1118</v>
      </c>
      <c r="D495" s="724"/>
      <c r="E495" s="752"/>
      <c r="F495" s="724"/>
      <c r="G495" s="551"/>
      <c r="H495" s="716"/>
      <c r="I495" s="481"/>
      <c r="J495" s="716"/>
      <c r="K495" s="481"/>
      <c r="L495" s="716"/>
      <c r="M495" s="481"/>
      <c r="N495" s="716"/>
      <c r="O495" s="481"/>
      <c r="P495" s="716"/>
      <c r="Q495" s="481"/>
      <c r="R495" s="716"/>
      <c r="S495" s="481"/>
      <c r="T495" s="716"/>
      <c r="U495" s="481"/>
      <c r="V495" s="716"/>
      <c r="W495" s="481"/>
      <c r="X495" s="716"/>
      <c r="Y495" s="481"/>
      <c r="Z495" s="716"/>
      <c r="AA495" s="489">
        <f t="shared" si="254"/>
        <v>0</v>
      </c>
      <c r="AB495" s="716"/>
      <c r="AC495" s="730"/>
      <c r="AD495" s="716"/>
      <c r="AE495" s="730"/>
      <c r="AF495" s="716"/>
      <c r="AG495" s="730"/>
      <c r="AH495" s="716"/>
      <c r="AI495" s="730"/>
      <c r="AJ495" s="479">
        <f t="shared" si="243"/>
        <v>0</v>
      </c>
      <c r="AK495" s="1216"/>
      <c r="AL495" s="1150"/>
      <c r="AM495" s="31" t="e">
        <f>CONCATENATE(IF(D494&gt;0," * F01-12 for Age "&amp;D481&amp;" "&amp;D482&amp;" has a value greater than 0"&amp;CHAR(10),""),IF(E494&gt;0," * F01-12 for Age "&amp;D481&amp;" "&amp;E482&amp;" has a value greater than 0"&amp;CHAR(10),""),IF(D495&gt;0," * F01-13 for Age "&amp;D481&amp;" "&amp;D482&amp;" has a value greater than 0"&amp;CHAR(10),""),IF(E495&gt;0," * F01-13 for Age "&amp;D481&amp;" "&amp;E482&amp;" has a value greater than 0"&amp;CHAR(10),""),IF(#REF!&gt;0," * F01-14 for Age "&amp;D481&amp;" "&amp;D482&amp;" has a value greater than 0"&amp;CHAR(10),""),IF(#REF!&gt;0," * F01-14 for Age "&amp;D481&amp;" "&amp;E482&amp;" has a value greater than 0"&amp;CHAR(10),""),IF(D558&gt;0," * F01-15 for Age "&amp;D481&amp;" "&amp;D482&amp;" has a value greater than 0"&amp;CHAR(10),""),IF(E558&gt;0," * F01-15 for Age "&amp;D481&amp;" "&amp;E482&amp;" has a value greater than 0"&amp;CHAR(10),""),IF(D563&gt;0," * F01-20 for Age "&amp;D481&amp;" "&amp;D482&amp;" has a value greater than 0"&amp;CHAR(10),""),IF(E563&gt;0," * F01-20 for Age "&amp;D481&amp;" "&amp;E482&amp;" has a value greater than 0"&amp;CHAR(10),""),IF(D564&gt;0," * F01-21 for Age "&amp;D481&amp;" "&amp;D482&amp;" has a value greater than 0"&amp;CHAR(10),""),IF(E564&gt;0," * F01-21 for Age "&amp;D481&amp;" "&amp;E482&amp;" has a value greater than 0"&amp;CHAR(10),""),IF(D565&gt;0," * F01-22 for Age "&amp;D481&amp;" "&amp;D482&amp;" has a value greater than 0"&amp;CHAR(10),""),IF(E565&gt;0," * F01-22 for Age "&amp;D481&amp;" "&amp;E482&amp;" has a value greater than 0"&amp;CHAR(10),""),IF(D566&gt;0," * F01-23 for Age "&amp;D481&amp;" "&amp;D482&amp;" has a value greater than 0"&amp;CHAR(10),""),IF(E566&gt;0," * F01-23 for Age "&amp;D481&amp;" "&amp;E482&amp;" has a value greater than 0"&amp;CHAR(10),""),"")</f>
        <v>#REF!</v>
      </c>
      <c r="AN495" s="793"/>
      <c r="AO495" s="13">
        <v>33</v>
      </c>
      <c r="AP495" s="81"/>
      <c r="AQ495" s="82"/>
    </row>
    <row r="496" spans="1:43" s="83" customFormat="1" ht="26.25" x14ac:dyDescent="0.4">
      <c r="A496" s="1400"/>
      <c r="B496" s="736" t="s">
        <v>1058</v>
      </c>
      <c r="C496" s="740" t="s">
        <v>1119</v>
      </c>
      <c r="D496" s="724"/>
      <c r="E496" s="752"/>
      <c r="F496" s="724"/>
      <c r="G496" s="551"/>
      <c r="H496" s="716"/>
      <c r="I496" s="481"/>
      <c r="J496" s="716"/>
      <c r="K496" s="481"/>
      <c r="L496" s="716"/>
      <c r="M496" s="481"/>
      <c r="N496" s="716"/>
      <c r="O496" s="481"/>
      <c r="P496" s="716"/>
      <c r="Q496" s="481"/>
      <c r="R496" s="716"/>
      <c r="S496" s="481"/>
      <c r="T496" s="716"/>
      <c r="U496" s="481"/>
      <c r="V496" s="716"/>
      <c r="W496" s="481"/>
      <c r="X496" s="716"/>
      <c r="Y496" s="481"/>
      <c r="Z496" s="716"/>
      <c r="AA496" s="489">
        <f t="shared" si="254"/>
        <v>0</v>
      </c>
      <c r="AB496" s="716"/>
      <c r="AC496" s="730"/>
      <c r="AD496" s="716"/>
      <c r="AE496" s="730"/>
      <c r="AF496" s="716"/>
      <c r="AG496" s="730"/>
      <c r="AH496" s="716"/>
      <c r="AI496" s="730"/>
      <c r="AJ496" s="479">
        <f t="shared" si="243"/>
        <v>0</v>
      </c>
      <c r="AK496" s="470"/>
      <c r="AL496" s="1150"/>
      <c r="AM496" s="31" t="str">
        <f>CONCATENATE(IF(D495&gt;0," * F01-12 for Age "&amp;D482&amp;" "&amp;D483&amp;" has a value greater than 0"&amp;CHAR(10),""),IF(E495&gt;0," * F01-12 for Age "&amp;D482&amp;" "&amp;E483&amp;" has a value greater than 0"&amp;CHAR(10),""),IF(D496&gt;0," * F01-13 for Age "&amp;D482&amp;" "&amp;D483&amp;" has a value greater than 0"&amp;CHAR(10),""),IF(E496&gt;0," * F01-13 for Age "&amp;D482&amp;" "&amp;E483&amp;" has a value greater than 0"&amp;CHAR(10),""),IF(D558&gt;0," * F01-14 for Age "&amp;D482&amp;" "&amp;D483&amp;" has a value greater than 0"&amp;CHAR(10),""),IF(E558&gt;0," * F01-14 for Age "&amp;D482&amp;" "&amp;E483&amp;" has a value greater than 0"&amp;CHAR(10),""),IF(D559&gt;0," * F01-15 for Age "&amp;D482&amp;" "&amp;D483&amp;" has a value greater than 0"&amp;CHAR(10),""),IF(E559&gt;0," * F01-15 for Age "&amp;D482&amp;" "&amp;E483&amp;" has a value greater than 0"&amp;CHAR(10),""),IF(D564&gt;0," * F01-20 for Age "&amp;D482&amp;" "&amp;D483&amp;" has a value greater than 0"&amp;CHAR(10),""),IF(E564&gt;0," * F01-20 for Age "&amp;D482&amp;" "&amp;E483&amp;" has a value greater than 0"&amp;CHAR(10),""),IF(D565&gt;0," * F01-21 for Age "&amp;D482&amp;" "&amp;D483&amp;" has a value greater than 0"&amp;CHAR(10),""),IF(E565&gt;0," * F01-21 for Age "&amp;D482&amp;" "&amp;E483&amp;" has a value greater than 0"&amp;CHAR(10),""),IF(D566&gt;0," * F01-22 for Age "&amp;D482&amp;" "&amp;D483&amp;" has a value greater than 0"&amp;CHAR(10),""),IF(E566&gt;0," * F01-22 for Age "&amp;D482&amp;" "&amp;E483&amp;" has a value greater than 0"&amp;CHAR(10),""),IF(D567&gt;0," * F01-23 for Age "&amp;D482&amp;" "&amp;D483&amp;" has a value greater than 0"&amp;CHAR(10),""),IF(E567&gt;0," * F01-23 for Age "&amp;D482&amp;" "&amp;E483&amp;" has a value greater than 0"&amp;CHAR(10),""),"")</f>
        <v/>
      </c>
      <c r="AN496" s="793"/>
      <c r="AO496" s="13">
        <v>33</v>
      </c>
      <c r="AP496" s="81"/>
      <c r="AQ496" s="82"/>
    </row>
    <row r="497" spans="1:43" s="83" customFormat="1" ht="27" thickBot="1" x14ac:dyDescent="0.45">
      <c r="A497" s="1401"/>
      <c r="B497" s="737" t="s">
        <v>1060</v>
      </c>
      <c r="C497" s="741" t="s">
        <v>1120</v>
      </c>
      <c r="D497" s="725"/>
      <c r="E497" s="753"/>
      <c r="F497" s="760"/>
      <c r="G497" s="553"/>
      <c r="H497" s="731"/>
      <c r="I497" s="549"/>
      <c r="J497" s="731"/>
      <c r="K497" s="549"/>
      <c r="L497" s="731"/>
      <c r="M497" s="549"/>
      <c r="N497" s="731"/>
      <c r="O497" s="549"/>
      <c r="P497" s="731"/>
      <c r="Q497" s="549"/>
      <c r="R497" s="731"/>
      <c r="S497" s="549"/>
      <c r="T497" s="731"/>
      <c r="U497" s="549"/>
      <c r="V497" s="731"/>
      <c r="W497" s="549"/>
      <c r="X497" s="731"/>
      <c r="Y497" s="549"/>
      <c r="Z497" s="731"/>
      <c r="AA497" s="489">
        <f t="shared" si="254"/>
        <v>0</v>
      </c>
      <c r="AB497" s="731"/>
      <c r="AC497" s="732"/>
      <c r="AD497" s="731"/>
      <c r="AE497" s="732"/>
      <c r="AF497" s="731"/>
      <c r="AG497" s="732"/>
      <c r="AH497" s="731"/>
      <c r="AI497" s="732"/>
      <c r="AJ497" s="480">
        <f t="shared" ref="AJ497:AJ501" si="257">SUM(D497:AA497)</f>
        <v>0</v>
      </c>
      <c r="AK497" s="470"/>
      <c r="AL497" s="1150"/>
      <c r="AM497" s="31" t="str">
        <f>CONCATENATE(IF(D496&gt;0," * F01-12 for Age "&amp;D483&amp;" "&amp;D484&amp;" has a value greater than 0"&amp;CHAR(10),""),IF(E496&gt;0," * F01-12 for Age "&amp;D483&amp;" "&amp;E484&amp;" has a value greater than 0"&amp;CHAR(10),""),IF(D497&gt;0," * F01-13 for Age "&amp;D483&amp;" "&amp;D484&amp;" has a value greater than 0"&amp;CHAR(10),""),IF(E497&gt;0," * F01-13 for Age "&amp;D483&amp;" "&amp;E484&amp;" has a value greater than 0"&amp;CHAR(10),""),IF(D559&gt;0," * F01-14 for Age "&amp;D483&amp;" "&amp;D484&amp;" has a value greater than 0"&amp;CHAR(10),""),IF(E559&gt;0," * F01-14 for Age "&amp;D483&amp;" "&amp;E484&amp;" has a value greater than 0"&amp;CHAR(10),""),IF(D560&gt;0," * F01-15 for Age "&amp;D483&amp;" "&amp;D484&amp;" has a value greater than 0"&amp;CHAR(10),""),IF(E560&gt;0," * F01-15 for Age "&amp;D483&amp;" "&amp;E484&amp;" has a value greater than 0"&amp;CHAR(10),""),IF(D565&gt;0," * F01-20 for Age "&amp;D483&amp;" "&amp;D484&amp;" has a value greater than 0"&amp;CHAR(10),""),IF(E565&gt;0," * F01-20 for Age "&amp;D483&amp;" "&amp;E484&amp;" has a value greater than 0"&amp;CHAR(10),""),IF(D566&gt;0," * F01-21 for Age "&amp;D483&amp;" "&amp;D484&amp;" has a value greater than 0"&amp;CHAR(10),""),IF(E566&gt;0," * F01-21 for Age "&amp;D483&amp;" "&amp;E484&amp;" has a value greater than 0"&amp;CHAR(10),""),IF(D567&gt;0," * F01-22 for Age "&amp;D483&amp;" "&amp;D484&amp;" has a value greater than 0"&amp;CHAR(10),""),IF(E567&gt;0," * F01-22 for Age "&amp;D483&amp;" "&amp;E484&amp;" has a value greater than 0"&amp;CHAR(10),""),IF(D568&gt;0," * F01-23 for Age "&amp;D483&amp;" "&amp;D484&amp;" has a value greater than 0"&amp;CHAR(10),""),IF(E568&gt;0," * F01-23 for Age "&amp;D483&amp;" "&amp;E484&amp;" has a value greater than 0"&amp;CHAR(10),""),"")</f>
        <v/>
      </c>
      <c r="AN497" s="793"/>
      <c r="AO497" s="13">
        <v>33</v>
      </c>
      <c r="AP497" s="81"/>
      <c r="AQ497" s="82"/>
    </row>
    <row r="498" spans="1:43" s="83" customFormat="1" ht="26.25" x14ac:dyDescent="0.4">
      <c r="A498" s="1399" t="s">
        <v>1126</v>
      </c>
      <c r="B498" s="475" t="s">
        <v>138</v>
      </c>
      <c r="C498" s="718" t="s">
        <v>1121</v>
      </c>
      <c r="D498" s="722"/>
      <c r="E498" s="750"/>
      <c r="F498" s="754">
        <f>F438+F443+F448+F453+F458+F463+F468+F473+F478+F483+F488+F493</f>
        <v>0</v>
      </c>
      <c r="G498" s="733">
        <f t="shared" ref="G498:AA501" si="258">G438+G443+G448+G453+G458+G463+G468+G473+G478+G483+G488+G493</f>
        <v>0</v>
      </c>
      <c r="H498" s="733">
        <f t="shared" si="258"/>
        <v>0</v>
      </c>
      <c r="I498" s="733">
        <f t="shared" si="258"/>
        <v>0</v>
      </c>
      <c r="J498" s="733">
        <f t="shared" si="258"/>
        <v>0</v>
      </c>
      <c r="K498" s="733">
        <f t="shared" si="258"/>
        <v>0</v>
      </c>
      <c r="L498" s="733">
        <f t="shared" si="258"/>
        <v>0</v>
      </c>
      <c r="M498" s="733">
        <f t="shared" si="258"/>
        <v>0</v>
      </c>
      <c r="N498" s="733">
        <f t="shared" si="258"/>
        <v>0</v>
      </c>
      <c r="O498" s="733">
        <f t="shared" si="258"/>
        <v>0</v>
      </c>
      <c r="P498" s="733">
        <f t="shared" si="258"/>
        <v>0</v>
      </c>
      <c r="Q498" s="733">
        <f t="shared" si="258"/>
        <v>0</v>
      </c>
      <c r="R498" s="733">
        <f t="shared" si="258"/>
        <v>0</v>
      </c>
      <c r="S498" s="733">
        <f t="shared" si="258"/>
        <v>0</v>
      </c>
      <c r="T498" s="733">
        <f t="shared" si="258"/>
        <v>0</v>
      </c>
      <c r="U498" s="733">
        <f t="shared" si="258"/>
        <v>0</v>
      </c>
      <c r="V498" s="733">
        <f t="shared" si="258"/>
        <v>0</v>
      </c>
      <c r="W498" s="733">
        <f t="shared" si="258"/>
        <v>0</v>
      </c>
      <c r="X498" s="733">
        <f t="shared" si="258"/>
        <v>0</v>
      </c>
      <c r="Y498" s="733">
        <f t="shared" si="258"/>
        <v>0</v>
      </c>
      <c r="Z498" s="733">
        <f t="shared" si="258"/>
        <v>0</v>
      </c>
      <c r="AA498" s="759">
        <f t="shared" si="258"/>
        <v>0</v>
      </c>
      <c r="AB498" s="733">
        <f t="shared" ref="AB498:AI498" si="259">AB438+AB443+AB448+AB453+AB458+AB463+AB468+AB473+AB478+AB483+AB488+AB493</f>
        <v>0</v>
      </c>
      <c r="AC498" s="759">
        <f t="shared" si="259"/>
        <v>0</v>
      </c>
      <c r="AD498" s="733">
        <f t="shared" si="259"/>
        <v>0</v>
      </c>
      <c r="AE498" s="759">
        <f t="shared" si="259"/>
        <v>0</v>
      </c>
      <c r="AF498" s="733">
        <f t="shared" si="259"/>
        <v>0</v>
      </c>
      <c r="AG498" s="759">
        <f t="shared" si="259"/>
        <v>0</v>
      </c>
      <c r="AH498" s="733">
        <f t="shared" si="259"/>
        <v>0</v>
      </c>
      <c r="AI498" s="759">
        <f t="shared" si="259"/>
        <v>0</v>
      </c>
      <c r="AJ498" s="477">
        <f t="shared" si="257"/>
        <v>0</v>
      </c>
      <c r="AK498" s="468"/>
      <c r="AL498" s="1150"/>
      <c r="AM498" s="31"/>
      <c r="AN498" s="793"/>
      <c r="AO498" s="13">
        <v>31</v>
      </c>
      <c r="AP498" s="81"/>
      <c r="AQ498" s="82"/>
    </row>
    <row r="499" spans="1:43" s="83" customFormat="1" ht="26.25" x14ac:dyDescent="0.4">
      <c r="A499" s="1400"/>
      <c r="B499" s="472" t="s">
        <v>1075</v>
      </c>
      <c r="C499" s="719" t="s">
        <v>1122</v>
      </c>
      <c r="D499" s="625"/>
      <c r="E499" s="751"/>
      <c r="F499" s="755">
        <f t="shared" ref="F499:U501" si="260">F439+F444+F449+F454+F459+F464+F469+F474+F479+F484+F489+F494</f>
        <v>0</v>
      </c>
      <c r="G499" s="717">
        <f t="shared" si="260"/>
        <v>0</v>
      </c>
      <c r="H499" s="717">
        <f t="shared" si="260"/>
        <v>0</v>
      </c>
      <c r="I499" s="717">
        <f t="shared" si="260"/>
        <v>0</v>
      </c>
      <c r="J499" s="717">
        <f t="shared" si="260"/>
        <v>0</v>
      </c>
      <c r="K499" s="717">
        <f t="shared" si="260"/>
        <v>0</v>
      </c>
      <c r="L499" s="717">
        <f t="shared" si="260"/>
        <v>0</v>
      </c>
      <c r="M499" s="717">
        <f t="shared" si="260"/>
        <v>0</v>
      </c>
      <c r="N499" s="717">
        <f t="shared" si="260"/>
        <v>0</v>
      </c>
      <c r="O499" s="717">
        <f t="shared" si="260"/>
        <v>0</v>
      </c>
      <c r="P499" s="717">
        <f t="shared" si="260"/>
        <v>0</v>
      </c>
      <c r="Q499" s="717">
        <f t="shared" si="260"/>
        <v>0</v>
      </c>
      <c r="R499" s="717">
        <f t="shared" si="260"/>
        <v>0</v>
      </c>
      <c r="S499" s="717">
        <f t="shared" si="260"/>
        <v>0</v>
      </c>
      <c r="T499" s="717">
        <f t="shared" si="260"/>
        <v>0</v>
      </c>
      <c r="U499" s="717">
        <f t="shared" si="260"/>
        <v>0</v>
      </c>
      <c r="V499" s="717">
        <f t="shared" si="258"/>
        <v>0</v>
      </c>
      <c r="W499" s="717">
        <f t="shared" si="258"/>
        <v>0</v>
      </c>
      <c r="X499" s="717">
        <f t="shared" si="258"/>
        <v>0</v>
      </c>
      <c r="Y499" s="717">
        <f t="shared" si="258"/>
        <v>0</v>
      </c>
      <c r="Z499" s="717">
        <f t="shared" si="258"/>
        <v>0</v>
      </c>
      <c r="AA499" s="723">
        <f t="shared" si="258"/>
        <v>0</v>
      </c>
      <c r="AB499" s="717">
        <f t="shared" ref="AB499:AI499" si="261">AB439+AB444+AB449+AB454+AB459+AB464+AB469+AB474+AB479+AB484+AB489+AB494</f>
        <v>0</v>
      </c>
      <c r="AC499" s="723">
        <f t="shared" si="261"/>
        <v>0</v>
      </c>
      <c r="AD499" s="717">
        <f t="shared" si="261"/>
        <v>0</v>
      </c>
      <c r="AE499" s="723">
        <f t="shared" si="261"/>
        <v>0</v>
      </c>
      <c r="AF499" s="717">
        <f t="shared" si="261"/>
        <v>0</v>
      </c>
      <c r="AG499" s="723">
        <f t="shared" si="261"/>
        <v>0</v>
      </c>
      <c r="AH499" s="717">
        <f t="shared" si="261"/>
        <v>0</v>
      </c>
      <c r="AI499" s="723">
        <f t="shared" si="261"/>
        <v>0</v>
      </c>
      <c r="AJ499" s="478">
        <f t="shared" si="257"/>
        <v>0</v>
      </c>
      <c r="AK499" s="1216"/>
      <c r="AL499" s="1150"/>
      <c r="AM499" s="31" t="str">
        <f>CONCATENATE(IF(AND(IFERROR((AJ500*100)/AJ499,0)&gt;10,AJ500&gt;5)," * This facility has a high positivity rate for Index Testing. Kindly confirm if this is the true reflection"&amp;CHAR(10),""),"")</f>
        <v/>
      </c>
      <c r="AN499" s="793"/>
      <c r="AO499" s="13">
        <v>32</v>
      </c>
      <c r="AP499" s="81"/>
      <c r="AQ499" s="82"/>
    </row>
    <row r="500" spans="1:43" s="83" customFormat="1" ht="26.25" x14ac:dyDescent="0.4">
      <c r="A500" s="1400"/>
      <c r="B500" s="472" t="s">
        <v>1056</v>
      </c>
      <c r="C500" s="719" t="s">
        <v>1123</v>
      </c>
      <c r="D500" s="724"/>
      <c r="E500" s="752"/>
      <c r="F500" s="755">
        <f t="shared" si="260"/>
        <v>0</v>
      </c>
      <c r="G500" s="717">
        <f t="shared" si="258"/>
        <v>0</v>
      </c>
      <c r="H500" s="717">
        <f t="shared" si="258"/>
        <v>0</v>
      </c>
      <c r="I500" s="717">
        <f t="shared" si="258"/>
        <v>0</v>
      </c>
      <c r="J500" s="717">
        <f t="shared" si="258"/>
        <v>0</v>
      </c>
      <c r="K500" s="717">
        <f t="shared" si="258"/>
        <v>0</v>
      </c>
      <c r="L500" s="717">
        <f t="shared" si="258"/>
        <v>0</v>
      </c>
      <c r="M500" s="717">
        <f t="shared" si="258"/>
        <v>0</v>
      </c>
      <c r="N500" s="717">
        <f t="shared" si="258"/>
        <v>0</v>
      </c>
      <c r="O500" s="717">
        <f t="shared" si="258"/>
        <v>0</v>
      </c>
      <c r="P500" s="717">
        <f t="shared" si="258"/>
        <v>0</v>
      </c>
      <c r="Q500" s="717">
        <f t="shared" si="258"/>
        <v>0</v>
      </c>
      <c r="R500" s="717">
        <f t="shared" si="258"/>
        <v>0</v>
      </c>
      <c r="S500" s="717">
        <f t="shared" si="258"/>
        <v>0</v>
      </c>
      <c r="T500" s="717">
        <f t="shared" si="258"/>
        <v>0</v>
      </c>
      <c r="U500" s="717">
        <f t="shared" si="258"/>
        <v>0</v>
      </c>
      <c r="V500" s="717">
        <f t="shared" si="258"/>
        <v>0</v>
      </c>
      <c r="W500" s="717">
        <f t="shared" si="258"/>
        <v>0</v>
      </c>
      <c r="X500" s="717">
        <f t="shared" si="258"/>
        <v>0</v>
      </c>
      <c r="Y500" s="717">
        <f t="shared" si="258"/>
        <v>0</v>
      </c>
      <c r="Z500" s="717">
        <f t="shared" si="258"/>
        <v>0</v>
      </c>
      <c r="AA500" s="723">
        <f t="shared" si="258"/>
        <v>0</v>
      </c>
      <c r="AB500" s="717">
        <f t="shared" ref="AB500:AI500" si="262">AB440+AB445+AB450+AB455+AB460+AB465+AB470+AB475+AB480+AB485+AB490+AB495</f>
        <v>0</v>
      </c>
      <c r="AC500" s="723">
        <f t="shared" si="262"/>
        <v>0</v>
      </c>
      <c r="AD500" s="717">
        <f t="shared" si="262"/>
        <v>0</v>
      </c>
      <c r="AE500" s="723">
        <f t="shared" si="262"/>
        <v>0</v>
      </c>
      <c r="AF500" s="717">
        <f t="shared" si="262"/>
        <v>0</v>
      </c>
      <c r="AG500" s="723">
        <f t="shared" si="262"/>
        <v>0</v>
      </c>
      <c r="AH500" s="717">
        <f t="shared" si="262"/>
        <v>0</v>
      </c>
      <c r="AI500" s="723">
        <f t="shared" si="262"/>
        <v>0</v>
      </c>
      <c r="AJ500" s="479">
        <f t="shared" si="257"/>
        <v>0</v>
      </c>
      <c r="AK500" s="1216"/>
      <c r="AL500" s="1150"/>
      <c r="AM500" s="31" t="e">
        <f>CONCATENATE(IF(D499&gt;0," * F01-12 for Age "&amp;D486&amp;" "&amp;D487&amp;" has a value greater than 0"&amp;CHAR(10),""),IF(E499&gt;0," * F01-12 for Age "&amp;D486&amp;" "&amp;E487&amp;" has a value greater than 0"&amp;CHAR(10),""),IF(D500&gt;0," * F01-13 for Age "&amp;D486&amp;" "&amp;D487&amp;" has a value greater than 0"&amp;CHAR(10),""),IF(E500&gt;0," * F01-13 for Age "&amp;D486&amp;" "&amp;E487&amp;" has a value greater than 0"&amp;CHAR(10),""),IF(#REF!&gt;0," * F01-14 for Age "&amp;D486&amp;" "&amp;D487&amp;" has a value greater than 0"&amp;CHAR(10),""),IF(#REF!&gt;0," * F01-14 for Age "&amp;D486&amp;" "&amp;E487&amp;" has a value greater than 0"&amp;CHAR(10),""),IF(D563&gt;0," * F01-15 for Age "&amp;D486&amp;" "&amp;D487&amp;" has a value greater than 0"&amp;CHAR(10),""),IF(E563&gt;0," * F01-15 for Age "&amp;D486&amp;" "&amp;E487&amp;" has a value greater than 0"&amp;CHAR(10),""),IF(D568&gt;0," * F01-20 for Age "&amp;D486&amp;" "&amp;D487&amp;" has a value greater than 0"&amp;CHAR(10),""),IF(E568&gt;0," * F01-20 for Age "&amp;D486&amp;" "&amp;E487&amp;" has a value greater than 0"&amp;CHAR(10),""),IF(D569&gt;0," * F01-21 for Age "&amp;D486&amp;" "&amp;D487&amp;" has a value greater than 0"&amp;CHAR(10),""),IF(E569&gt;0," * F01-21 for Age "&amp;D486&amp;" "&amp;E487&amp;" has a value greater than 0"&amp;CHAR(10),""),IF(D570&gt;0," * F01-22 for Age "&amp;D486&amp;" "&amp;D487&amp;" has a value greater than 0"&amp;CHAR(10),""),IF(E570&gt;0," * F01-22 for Age "&amp;D486&amp;" "&amp;E487&amp;" has a value greater than 0"&amp;CHAR(10),""),IF(D571&gt;0," * F01-23 for Age "&amp;D486&amp;" "&amp;D487&amp;" has a value greater than 0"&amp;CHAR(10),""),IF(E571&gt;0," * F01-23 for Age "&amp;D486&amp;" "&amp;E487&amp;" has a value greater than 0"&amp;CHAR(10),""),"")</f>
        <v>#REF!</v>
      </c>
      <c r="AN500" s="793"/>
      <c r="AO500" s="13">
        <v>33</v>
      </c>
      <c r="AP500" s="81"/>
      <c r="AQ500" s="82"/>
    </row>
    <row r="501" spans="1:43" s="83" customFormat="1" ht="26.25" x14ac:dyDescent="0.4">
      <c r="A501" s="1400"/>
      <c r="B501" s="472" t="s">
        <v>1058</v>
      </c>
      <c r="C501" s="719" t="s">
        <v>1124</v>
      </c>
      <c r="D501" s="724"/>
      <c r="E501" s="752"/>
      <c r="F501" s="755">
        <f t="shared" si="260"/>
        <v>0</v>
      </c>
      <c r="G501" s="717">
        <f t="shared" si="258"/>
        <v>0</v>
      </c>
      <c r="H501" s="717">
        <f t="shared" si="258"/>
        <v>0</v>
      </c>
      <c r="I501" s="717">
        <f t="shared" si="258"/>
        <v>0</v>
      </c>
      <c r="J501" s="717">
        <f t="shared" si="258"/>
        <v>0</v>
      </c>
      <c r="K501" s="717">
        <f t="shared" si="258"/>
        <v>0</v>
      </c>
      <c r="L501" s="717">
        <f t="shared" si="258"/>
        <v>0</v>
      </c>
      <c r="M501" s="717">
        <f t="shared" si="258"/>
        <v>0</v>
      </c>
      <c r="N501" s="717">
        <f t="shared" si="258"/>
        <v>0</v>
      </c>
      <c r="O501" s="717">
        <f t="shared" si="258"/>
        <v>0</v>
      </c>
      <c r="P501" s="717">
        <f t="shared" si="258"/>
        <v>0</v>
      </c>
      <c r="Q501" s="717">
        <f t="shared" si="258"/>
        <v>0</v>
      </c>
      <c r="R501" s="717">
        <f t="shared" si="258"/>
        <v>0</v>
      </c>
      <c r="S501" s="717">
        <f t="shared" si="258"/>
        <v>0</v>
      </c>
      <c r="T501" s="717">
        <f t="shared" si="258"/>
        <v>0</v>
      </c>
      <c r="U501" s="717">
        <f t="shared" si="258"/>
        <v>0</v>
      </c>
      <c r="V501" s="717">
        <f t="shared" si="258"/>
        <v>0</v>
      </c>
      <c r="W501" s="717">
        <f t="shared" si="258"/>
        <v>0</v>
      </c>
      <c r="X501" s="717">
        <f t="shared" si="258"/>
        <v>0</v>
      </c>
      <c r="Y501" s="717">
        <f t="shared" si="258"/>
        <v>0</v>
      </c>
      <c r="Z501" s="717">
        <f t="shared" si="258"/>
        <v>0</v>
      </c>
      <c r="AA501" s="723">
        <f t="shared" si="258"/>
        <v>0</v>
      </c>
      <c r="AB501" s="717">
        <f t="shared" ref="AB501:AI501" si="263">AB441+AB446+AB451+AB456+AB461+AB466+AB471+AB476+AB481+AB486+AB491+AB496</f>
        <v>0</v>
      </c>
      <c r="AC501" s="723">
        <f t="shared" si="263"/>
        <v>0</v>
      </c>
      <c r="AD501" s="717">
        <f t="shared" si="263"/>
        <v>0</v>
      </c>
      <c r="AE501" s="723">
        <f t="shared" si="263"/>
        <v>0</v>
      </c>
      <c r="AF501" s="717">
        <f t="shared" si="263"/>
        <v>0</v>
      </c>
      <c r="AG501" s="723">
        <f t="shared" si="263"/>
        <v>0</v>
      </c>
      <c r="AH501" s="717">
        <f t="shared" si="263"/>
        <v>0</v>
      </c>
      <c r="AI501" s="723">
        <f t="shared" si="263"/>
        <v>0</v>
      </c>
      <c r="AJ501" s="479">
        <f t="shared" si="257"/>
        <v>0</v>
      </c>
      <c r="AK501" s="470"/>
      <c r="AL501" s="1150"/>
      <c r="AM501" s="31" t="str">
        <f>CONCATENATE(IF(D500&gt;0," * F01-12 for Age "&amp;D487&amp;" "&amp;D488&amp;" has a value greater than 0"&amp;CHAR(10),""),IF(E500&gt;0," * F01-12 for Age "&amp;D487&amp;" "&amp;E488&amp;" has a value greater than 0"&amp;CHAR(10),""),IF(D501&gt;0," * F01-13 for Age "&amp;D487&amp;" "&amp;D488&amp;" has a value greater than 0"&amp;CHAR(10),""),IF(E501&gt;0," * F01-13 for Age "&amp;D487&amp;" "&amp;E488&amp;" has a value greater than 0"&amp;CHAR(10),""),IF(D563&gt;0," * F01-14 for Age "&amp;D487&amp;" "&amp;D488&amp;" has a value greater than 0"&amp;CHAR(10),""),IF(E563&gt;0," * F01-14 for Age "&amp;D487&amp;" "&amp;E488&amp;" has a value greater than 0"&amp;CHAR(10),""),IF(D564&gt;0," * F01-15 for Age "&amp;D487&amp;" "&amp;D488&amp;" has a value greater than 0"&amp;CHAR(10),""),IF(E564&gt;0," * F01-15 for Age "&amp;D487&amp;" "&amp;E488&amp;" has a value greater than 0"&amp;CHAR(10),""),IF(D569&gt;0," * F01-20 for Age "&amp;D487&amp;" "&amp;D488&amp;" has a value greater than 0"&amp;CHAR(10),""),IF(E569&gt;0," * F01-20 for Age "&amp;D487&amp;" "&amp;E488&amp;" has a value greater than 0"&amp;CHAR(10),""),IF(D570&gt;0," * F01-21 for Age "&amp;D487&amp;" "&amp;D488&amp;" has a value greater than 0"&amp;CHAR(10),""),IF(E570&gt;0," * F01-21 for Age "&amp;D487&amp;" "&amp;E488&amp;" has a value greater than 0"&amp;CHAR(10),""),IF(D571&gt;0," * F01-22 for Age "&amp;D487&amp;" "&amp;D488&amp;" has a value greater than 0"&amp;CHAR(10),""),IF(E571&gt;0," * F01-22 for Age "&amp;D487&amp;" "&amp;E488&amp;" has a value greater than 0"&amp;CHAR(10),""),IF(D572&gt;0," * F01-23 for Age "&amp;D487&amp;" "&amp;D488&amp;" has a value greater than 0"&amp;CHAR(10),""),IF(E572&gt;0," * F01-23 for Age "&amp;D487&amp;" "&amp;E488&amp;" has a value greater than 0"&amp;CHAR(10),""),"")</f>
        <v/>
      </c>
      <c r="AN501" s="793"/>
      <c r="AO501" s="13">
        <v>33</v>
      </c>
      <c r="AP501" s="81"/>
      <c r="AQ501" s="82"/>
    </row>
    <row r="502" spans="1:43" s="83" customFormat="1" ht="27" thickBot="1" x14ac:dyDescent="0.45">
      <c r="A502" s="1401"/>
      <c r="B502" s="546" t="s">
        <v>1060</v>
      </c>
      <c r="C502" s="720" t="s">
        <v>1125</v>
      </c>
      <c r="D502" s="725"/>
      <c r="E502" s="753"/>
      <c r="F502" s="756">
        <f>SUM(F497,F492,F487,F482,F477,F472,F467,F462,F457,F452,F447,F442)</f>
        <v>0</v>
      </c>
      <c r="G502" s="726">
        <f t="shared" ref="G502:AA502" si="264">SUM(G497,G492,G487,G482,G477,G472,G467,G462,G457,G452,G447,G442)</f>
        <v>0</v>
      </c>
      <c r="H502" s="726">
        <f t="shared" si="264"/>
        <v>0</v>
      </c>
      <c r="I502" s="726">
        <f t="shared" si="264"/>
        <v>0</v>
      </c>
      <c r="J502" s="726">
        <f t="shared" si="264"/>
        <v>0</v>
      </c>
      <c r="K502" s="726">
        <f t="shared" si="264"/>
        <v>0</v>
      </c>
      <c r="L502" s="726">
        <f t="shared" si="264"/>
        <v>0</v>
      </c>
      <c r="M502" s="726">
        <f t="shared" si="264"/>
        <v>0</v>
      </c>
      <c r="N502" s="726">
        <f t="shared" si="264"/>
        <v>0</v>
      </c>
      <c r="O502" s="726">
        <f t="shared" si="264"/>
        <v>0</v>
      </c>
      <c r="P502" s="726">
        <f t="shared" si="264"/>
        <v>0</v>
      </c>
      <c r="Q502" s="726">
        <f t="shared" si="264"/>
        <v>0</v>
      </c>
      <c r="R502" s="726">
        <f t="shared" si="264"/>
        <v>0</v>
      </c>
      <c r="S502" s="726">
        <f t="shared" si="264"/>
        <v>0</v>
      </c>
      <c r="T502" s="726">
        <f t="shared" si="264"/>
        <v>0</v>
      </c>
      <c r="U502" s="726">
        <f t="shared" si="264"/>
        <v>0</v>
      </c>
      <c r="V502" s="726">
        <f t="shared" si="264"/>
        <v>0</v>
      </c>
      <c r="W502" s="726">
        <f t="shared" si="264"/>
        <v>0</v>
      </c>
      <c r="X502" s="726">
        <f t="shared" si="264"/>
        <v>0</v>
      </c>
      <c r="Y502" s="726">
        <f t="shared" si="264"/>
        <v>0</v>
      </c>
      <c r="Z502" s="726">
        <f t="shared" si="264"/>
        <v>0</v>
      </c>
      <c r="AA502" s="727">
        <f t="shared" si="264"/>
        <v>0</v>
      </c>
      <c r="AB502" s="726">
        <f t="shared" ref="AB502:AI502" si="265">SUM(AB497,AB492,AB487,AB482,AB477,AB472,AB467,AB462,AB457,AB452,AB447,AB442)</f>
        <v>0</v>
      </c>
      <c r="AC502" s="727">
        <f t="shared" si="265"/>
        <v>0</v>
      </c>
      <c r="AD502" s="726">
        <f t="shared" si="265"/>
        <v>0</v>
      </c>
      <c r="AE502" s="727">
        <f t="shared" si="265"/>
        <v>0</v>
      </c>
      <c r="AF502" s="726">
        <f t="shared" si="265"/>
        <v>0</v>
      </c>
      <c r="AG502" s="727">
        <f t="shared" si="265"/>
        <v>0</v>
      </c>
      <c r="AH502" s="726">
        <f t="shared" si="265"/>
        <v>0</v>
      </c>
      <c r="AI502" s="727">
        <f t="shared" si="265"/>
        <v>0</v>
      </c>
      <c r="AJ502" s="480">
        <f t="shared" ref="AJ502" si="266">SUM(D502:AA502)</f>
        <v>0</v>
      </c>
      <c r="AK502" s="470"/>
      <c r="AL502" s="1151"/>
      <c r="AM502" s="31" t="str">
        <f>CONCATENATE(IF(D501&gt;0," * F01-12 for Age "&amp;D488&amp;" "&amp;D489&amp;" has a value greater than 0"&amp;CHAR(10),""),IF(E501&gt;0," * F01-12 for Age "&amp;D488&amp;" "&amp;E489&amp;" has a value greater than 0"&amp;CHAR(10),""),IF(D502&gt;0," * F01-13 for Age "&amp;D488&amp;" "&amp;D489&amp;" has a value greater than 0"&amp;CHAR(10),""),IF(E502&gt;0," * F01-13 for Age "&amp;D488&amp;" "&amp;E489&amp;" has a value greater than 0"&amp;CHAR(10),""),IF(D564&gt;0," * F01-14 for Age "&amp;D488&amp;" "&amp;D489&amp;" has a value greater than 0"&amp;CHAR(10),""),IF(E564&gt;0," * F01-14 for Age "&amp;D488&amp;" "&amp;E489&amp;" has a value greater than 0"&amp;CHAR(10),""),IF(D565&gt;0," * F01-15 for Age "&amp;D488&amp;" "&amp;D489&amp;" has a value greater than 0"&amp;CHAR(10),""),IF(E565&gt;0," * F01-15 for Age "&amp;D488&amp;" "&amp;E489&amp;" has a value greater than 0"&amp;CHAR(10),""),IF(D570&gt;0," * F01-20 for Age "&amp;D488&amp;" "&amp;D489&amp;" has a value greater than 0"&amp;CHAR(10),""),IF(E570&gt;0," * F01-20 for Age "&amp;D488&amp;" "&amp;E489&amp;" has a value greater than 0"&amp;CHAR(10),""),IF(D571&gt;0," * F01-21 for Age "&amp;D488&amp;" "&amp;D489&amp;" has a value greater than 0"&amp;CHAR(10),""),IF(E571&gt;0," * F01-21 for Age "&amp;D488&amp;" "&amp;E489&amp;" has a value greater than 0"&amp;CHAR(10),""),IF(D572&gt;0," * F01-22 for Age "&amp;D488&amp;" "&amp;D489&amp;" has a value greater than 0"&amp;CHAR(10),""),IF(E572&gt;0," * F01-22 for Age "&amp;D488&amp;" "&amp;E489&amp;" has a value greater than 0"&amp;CHAR(10),""),IF(D573&gt;0," * F01-23 for Age "&amp;D488&amp;" "&amp;D489&amp;" has a value greater than 0"&amp;CHAR(10),""),IF(E573&gt;0," * F01-23 for Age "&amp;D488&amp;" "&amp;E489&amp;" has a value greater than 0"&amp;CHAR(10),""),"")</f>
        <v/>
      </c>
      <c r="AN502" s="794"/>
      <c r="AO502" s="13">
        <v>33</v>
      </c>
      <c r="AP502" s="81"/>
      <c r="AQ502" s="82"/>
    </row>
    <row r="503" spans="1:43" ht="63" customHeight="1" thickBot="1" x14ac:dyDescent="0.45">
      <c r="A503" s="954" t="s">
        <v>443</v>
      </c>
      <c r="B503" s="474"/>
      <c r="C503" s="9"/>
      <c r="D503" s="269"/>
      <c r="E503" s="269"/>
      <c r="F503" s="7"/>
      <c r="G503" s="7"/>
      <c r="H503" s="269"/>
      <c r="I503" s="7"/>
      <c r="J503" s="7"/>
      <c r="K503" s="269"/>
      <c r="L503" s="269"/>
      <c r="M503" s="7"/>
      <c r="N503" s="7"/>
      <c r="O503" s="7"/>
      <c r="P503" s="269"/>
      <c r="Q503" s="7"/>
      <c r="R503" s="269"/>
      <c r="S503" s="269"/>
      <c r="T503" s="269"/>
      <c r="U503" s="269"/>
      <c r="V503" s="269"/>
      <c r="W503" s="269"/>
      <c r="X503" s="7"/>
      <c r="Y503" s="269"/>
      <c r="Z503" s="269"/>
      <c r="AA503" s="269"/>
      <c r="AB503" s="269"/>
      <c r="AC503" s="269"/>
      <c r="AD503" s="269"/>
      <c r="AE503" s="269"/>
      <c r="AF503" s="269"/>
      <c r="AG503" s="269"/>
      <c r="AH503" s="269"/>
      <c r="AI503" s="269"/>
      <c r="AJ503" s="269"/>
      <c r="AK503" s="9"/>
      <c r="AM503" s="269"/>
      <c r="AN503" s="269"/>
      <c r="AO503" s="270"/>
      <c r="AP503" s="74"/>
      <c r="AQ503" s="75"/>
    </row>
    <row r="505" spans="1:43" ht="29.25" thickBot="1" x14ac:dyDescent="0.4">
      <c r="A505" s="955"/>
      <c r="B505" s="271"/>
      <c r="E505" s="8"/>
      <c r="F505" s="8"/>
      <c r="G505" s="8"/>
      <c r="H505" s="8"/>
      <c r="I505" s="8"/>
      <c r="J505" s="8"/>
      <c r="K505" s="8"/>
      <c r="L505" s="8"/>
      <c r="M505" s="8"/>
    </row>
    <row r="506" spans="1:43" s="278" customFormat="1" ht="41.25" customHeight="1" thickBot="1" x14ac:dyDescent="0.3">
      <c r="A506" s="1320" t="s">
        <v>899</v>
      </c>
      <c r="B506" s="1321"/>
      <c r="C506" s="1321"/>
      <c r="D506" s="1321"/>
      <c r="E506" s="1321"/>
      <c r="F506" s="1321"/>
      <c r="G506" s="1321"/>
      <c r="H506" s="1321"/>
      <c r="I506" s="1321"/>
      <c r="J506" s="1321"/>
      <c r="K506" s="1321"/>
      <c r="L506" s="1321"/>
      <c r="M506" s="1322" t="s">
        <v>896</v>
      </c>
      <c r="N506" s="1321"/>
      <c r="O506" s="1321"/>
      <c r="P506" s="1321"/>
      <c r="Q506" s="1321"/>
      <c r="R506" s="1321"/>
      <c r="S506" s="1321"/>
      <c r="T506" s="1321"/>
      <c r="U506" s="1321"/>
      <c r="V506" s="1321"/>
      <c r="W506" s="1321"/>
      <c r="X506" s="1321"/>
      <c r="Y506" s="1321"/>
      <c r="Z506" s="1321"/>
      <c r="AA506" s="1321"/>
      <c r="AB506" s="1321"/>
      <c r="AC506" s="1321"/>
      <c r="AD506" s="1321"/>
      <c r="AE506" s="1321"/>
      <c r="AF506" s="1321"/>
      <c r="AG506" s="1321"/>
      <c r="AH506" s="1321"/>
      <c r="AI506" s="1321"/>
      <c r="AJ506" s="1321"/>
      <c r="AK506" s="1321"/>
      <c r="AL506" s="1321"/>
      <c r="AM506" s="1321"/>
      <c r="AN506" s="1323"/>
      <c r="AO506" s="275"/>
      <c r="AP506" s="276"/>
      <c r="AQ506" s="277"/>
    </row>
    <row r="507" spans="1:43" ht="30.75" customHeight="1" x14ac:dyDescent="0.35">
      <c r="A507" s="1311" t="str">
        <f>CONCATENATE(AL422,AL402,AL391,AL374,AL346,AL328,AL316,AL292,AL274,AL265,AL256,AL247,AL238,AL211,AL181,AL124,AL111,AL22,AL8,AL66,AL438,AL195)</f>
        <v/>
      </c>
      <c r="B507" s="1312"/>
      <c r="C507" s="1312"/>
      <c r="D507" s="1312"/>
      <c r="E507" s="1312"/>
      <c r="F507" s="1312"/>
      <c r="G507" s="1312"/>
      <c r="H507" s="1312"/>
      <c r="I507" s="1312"/>
      <c r="J507" s="1312"/>
      <c r="K507" s="1312"/>
      <c r="L507" s="1313"/>
      <c r="M507" s="1324" t="str">
        <f>IF(LEN(A507)&lt;=0,"","Please ensure you solve the errors appearing on the left . However, In the cases where the errors are valid and can be explained ( We expect this to be very rare cases), Please delete this message and type the  justification for the error here)")</f>
        <v/>
      </c>
      <c r="N507" s="1325"/>
      <c r="O507" s="1325"/>
      <c r="P507" s="1325"/>
      <c r="Q507" s="1325"/>
      <c r="R507" s="1325"/>
      <c r="S507" s="1325"/>
      <c r="T507" s="1325"/>
      <c r="U507" s="1325"/>
      <c r="V507" s="1325"/>
      <c r="W507" s="1325"/>
      <c r="X507" s="1325"/>
      <c r="Y507" s="1325"/>
      <c r="Z507" s="1325"/>
      <c r="AA507" s="1325"/>
      <c r="AB507" s="1325"/>
      <c r="AC507" s="1325"/>
      <c r="AD507" s="1325"/>
      <c r="AE507" s="1325"/>
      <c r="AF507" s="1325"/>
      <c r="AG507" s="1325"/>
      <c r="AH507" s="1325"/>
      <c r="AI507" s="1325"/>
      <c r="AJ507" s="1325"/>
      <c r="AK507" s="1325"/>
      <c r="AL507" s="1325"/>
      <c r="AM507" s="1325"/>
      <c r="AN507" s="1326"/>
    </row>
    <row r="508" spans="1:43" ht="25.5" customHeight="1" x14ac:dyDescent="0.35">
      <c r="A508" s="1314"/>
      <c r="B508" s="1315"/>
      <c r="C508" s="1315"/>
      <c r="D508" s="1315"/>
      <c r="E508" s="1315"/>
      <c r="F508" s="1315"/>
      <c r="G508" s="1315"/>
      <c r="H508" s="1315"/>
      <c r="I508" s="1315"/>
      <c r="J508" s="1315"/>
      <c r="K508" s="1315"/>
      <c r="L508" s="1316"/>
      <c r="M508" s="1327"/>
      <c r="N508" s="1328"/>
      <c r="O508" s="1328"/>
      <c r="P508" s="1328"/>
      <c r="Q508" s="1328"/>
      <c r="R508" s="1328"/>
      <c r="S508" s="1328"/>
      <c r="T508" s="1328"/>
      <c r="U508" s="1328"/>
      <c r="V508" s="1328"/>
      <c r="W508" s="1328"/>
      <c r="X508" s="1328"/>
      <c r="Y508" s="1328"/>
      <c r="Z508" s="1328"/>
      <c r="AA508" s="1328"/>
      <c r="AB508" s="1328"/>
      <c r="AC508" s="1328"/>
      <c r="AD508" s="1328"/>
      <c r="AE508" s="1328"/>
      <c r="AF508" s="1328"/>
      <c r="AG508" s="1328"/>
      <c r="AH508" s="1328"/>
      <c r="AI508" s="1328"/>
      <c r="AJ508" s="1328"/>
      <c r="AK508" s="1328"/>
      <c r="AL508" s="1328"/>
      <c r="AM508" s="1328"/>
      <c r="AN508" s="1329"/>
    </row>
    <row r="509" spans="1:43" ht="30.75" customHeight="1" x14ac:dyDescent="0.35">
      <c r="A509" s="1314"/>
      <c r="B509" s="1315"/>
      <c r="C509" s="1315"/>
      <c r="D509" s="1315"/>
      <c r="E509" s="1315"/>
      <c r="F509" s="1315"/>
      <c r="G509" s="1315"/>
      <c r="H509" s="1315"/>
      <c r="I509" s="1315"/>
      <c r="J509" s="1315"/>
      <c r="K509" s="1315"/>
      <c r="L509" s="1316"/>
      <c r="M509" s="1327"/>
      <c r="N509" s="1328"/>
      <c r="O509" s="1328"/>
      <c r="P509" s="1328"/>
      <c r="Q509" s="1328"/>
      <c r="R509" s="1328"/>
      <c r="S509" s="1328"/>
      <c r="T509" s="1328"/>
      <c r="U509" s="1328"/>
      <c r="V509" s="1328"/>
      <c r="W509" s="1328"/>
      <c r="X509" s="1328"/>
      <c r="Y509" s="1328"/>
      <c r="Z509" s="1328"/>
      <c r="AA509" s="1328"/>
      <c r="AB509" s="1328"/>
      <c r="AC509" s="1328"/>
      <c r="AD509" s="1328"/>
      <c r="AE509" s="1328"/>
      <c r="AF509" s="1328"/>
      <c r="AG509" s="1328"/>
      <c r="AH509" s="1328"/>
      <c r="AI509" s="1328"/>
      <c r="AJ509" s="1328"/>
      <c r="AK509" s="1328"/>
      <c r="AL509" s="1328"/>
      <c r="AM509" s="1328"/>
      <c r="AN509" s="1329"/>
    </row>
    <row r="510" spans="1:43" ht="25.5" customHeight="1" x14ac:dyDescent="0.35">
      <c r="A510" s="1314"/>
      <c r="B510" s="1315"/>
      <c r="C510" s="1315"/>
      <c r="D510" s="1315"/>
      <c r="E510" s="1315"/>
      <c r="F510" s="1315"/>
      <c r="G510" s="1315"/>
      <c r="H510" s="1315"/>
      <c r="I510" s="1315"/>
      <c r="J510" s="1315"/>
      <c r="K510" s="1315"/>
      <c r="L510" s="1316"/>
      <c r="M510" s="1327"/>
      <c r="N510" s="1328"/>
      <c r="O510" s="1328"/>
      <c r="P510" s="1328"/>
      <c r="Q510" s="1328"/>
      <c r="R510" s="1328"/>
      <c r="S510" s="1328"/>
      <c r="T510" s="1328"/>
      <c r="U510" s="1328"/>
      <c r="V510" s="1328"/>
      <c r="W510" s="1328"/>
      <c r="X510" s="1328"/>
      <c r="Y510" s="1328"/>
      <c r="Z510" s="1328"/>
      <c r="AA510" s="1328"/>
      <c r="AB510" s="1328"/>
      <c r="AC510" s="1328"/>
      <c r="AD510" s="1328"/>
      <c r="AE510" s="1328"/>
      <c r="AF510" s="1328"/>
      <c r="AG510" s="1328"/>
      <c r="AH510" s="1328"/>
      <c r="AI510" s="1328"/>
      <c r="AJ510" s="1328"/>
      <c r="AK510" s="1328"/>
      <c r="AL510" s="1328"/>
      <c r="AM510" s="1328"/>
      <c r="AN510" s="1329"/>
    </row>
    <row r="511" spans="1:43" ht="25.5" customHeight="1" x14ac:dyDescent="0.35">
      <c r="A511" s="1314"/>
      <c r="B511" s="1315"/>
      <c r="C511" s="1315"/>
      <c r="D511" s="1315"/>
      <c r="E511" s="1315"/>
      <c r="F511" s="1315"/>
      <c r="G511" s="1315"/>
      <c r="H511" s="1315"/>
      <c r="I511" s="1315"/>
      <c r="J511" s="1315"/>
      <c r="K511" s="1315"/>
      <c r="L511" s="1316"/>
      <c r="M511" s="1327"/>
      <c r="N511" s="1328"/>
      <c r="O511" s="1328"/>
      <c r="P511" s="1328"/>
      <c r="Q511" s="1328"/>
      <c r="R511" s="1328"/>
      <c r="S511" s="1328"/>
      <c r="T511" s="1328"/>
      <c r="U511" s="1328"/>
      <c r="V511" s="1328"/>
      <c r="W511" s="1328"/>
      <c r="X511" s="1328"/>
      <c r="Y511" s="1328"/>
      <c r="Z511" s="1328"/>
      <c r="AA511" s="1328"/>
      <c r="AB511" s="1328"/>
      <c r="AC511" s="1328"/>
      <c r="AD511" s="1328"/>
      <c r="AE511" s="1328"/>
      <c r="AF511" s="1328"/>
      <c r="AG511" s="1328"/>
      <c r="AH511" s="1328"/>
      <c r="AI511" s="1328"/>
      <c r="AJ511" s="1328"/>
      <c r="AK511" s="1328"/>
      <c r="AL511" s="1328"/>
      <c r="AM511" s="1328"/>
      <c r="AN511" s="1329"/>
    </row>
    <row r="512" spans="1:43" ht="25.5" customHeight="1" x14ac:dyDescent="0.35">
      <c r="A512" s="1314"/>
      <c r="B512" s="1315"/>
      <c r="C512" s="1315"/>
      <c r="D512" s="1315"/>
      <c r="E512" s="1315"/>
      <c r="F512" s="1315"/>
      <c r="G512" s="1315"/>
      <c r="H512" s="1315"/>
      <c r="I512" s="1315"/>
      <c r="J512" s="1315"/>
      <c r="K512" s="1315"/>
      <c r="L512" s="1316"/>
      <c r="M512" s="1327"/>
      <c r="N512" s="1328"/>
      <c r="O512" s="1328"/>
      <c r="P512" s="1328"/>
      <c r="Q512" s="1328"/>
      <c r="R512" s="1328"/>
      <c r="S512" s="1328"/>
      <c r="T512" s="1328"/>
      <c r="U512" s="1328"/>
      <c r="V512" s="1328"/>
      <c r="W512" s="1328"/>
      <c r="X512" s="1328"/>
      <c r="Y512" s="1328"/>
      <c r="Z512" s="1328"/>
      <c r="AA512" s="1328"/>
      <c r="AB512" s="1328"/>
      <c r="AC512" s="1328"/>
      <c r="AD512" s="1328"/>
      <c r="AE512" s="1328"/>
      <c r="AF512" s="1328"/>
      <c r="AG512" s="1328"/>
      <c r="AH512" s="1328"/>
      <c r="AI512" s="1328"/>
      <c r="AJ512" s="1328"/>
      <c r="AK512" s="1328"/>
      <c r="AL512" s="1328"/>
      <c r="AM512" s="1328"/>
      <c r="AN512" s="1329"/>
    </row>
    <row r="513" spans="1:43" ht="25.5" customHeight="1" x14ac:dyDescent="0.35">
      <c r="A513" s="1314"/>
      <c r="B513" s="1315"/>
      <c r="C513" s="1315"/>
      <c r="D513" s="1315"/>
      <c r="E513" s="1315"/>
      <c r="F513" s="1315"/>
      <c r="G513" s="1315"/>
      <c r="H513" s="1315"/>
      <c r="I513" s="1315"/>
      <c r="J513" s="1315"/>
      <c r="K513" s="1315"/>
      <c r="L513" s="1316"/>
      <c r="M513" s="1327"/>
      <c r="N513" s="1328"/>
      <c r="O513" s="1328"/>
      <c r="P513" s="1328"/>
      <c r="Q513" s="1328"/>
      <c r="R513" s="1328"/>
      <c r="S513" s="1328"/>
      <c r="T513" s="1328"/>
      <c r="U513" s="1328"/>
      <c r="V513" s="1328"/>
      <c r="W513" s="1328"/>
      <c r="X513" s="1328"/>
      <c r="Y513" s="1328"/>
      <c r="Z513" s="1328"/>
      <c r="AA513" s="1328"/>
      <c r="AB513" s="1328"/>
      <c r="AC513" s="1328"/>
      <c r="AD513" s="1328"/>
      <c r="AE513" s="1328"/>
      <c r="AF513" s="1328"/>
      <c r="AG513" s="1328"/>
      <c r="AH513" s="1328"/>
      <c r="AI513" s="1328"/>
      <c r="AJ513" s="1328"/>
      <c r="AK513" s="1328"/>
      <c r="AL513" s="1328"/>
      <c r="AM513" s="1328"/>
      <c r="AN513" s="1329"/>
    </row>
    <row r="514" spans="1:43" ht="25.5" customHeight="1" x14ac:dyDescent="0.35">
      <c r="A514" s="1314"/>
      <c r="B514" s="1315"/>
      <c r="C514" s="1315"/>
      <c r="D514" s="1315"/>
      <c r="E514" s="1315"/>
      <c r="F514" s="1315"/>
      <c r="G514" s="1315"/>
      <c r="H514" s="1315"/>
      <c r="I514" s="1315"/>
      <c r="J514" s="1315"/>
      <c r="K514" s="1315"/>
      <c r="L514" s="1316"/>
      <c r="M514" s="1327"/>
      <c r="N514" s="1328"/>
      <c r="O514" s="1328"/>
      <c r="P514" s="1328"/>
      <c r="Q514" s="1328"/>
      <c r="R514" s="1328"/>
      <c r="S514" s="1328"/>
      <c r="T514" s="1328"/>
      <c r="U514" s="1328"/>
      <c r="V514" s="1328"/>
      <c r="W514" s="1328"/>
      <c r="X514" s="1328"/>
      <c r="Y514" s="1328"/>
      <c r="Z514" s="1328"/>
      <c r="AA514" s="1328"/>
      <c r="AB514" s="1328"/>
      <c r="AC514" s="1328"/>
      <c r="AD514" s="1328"/>
      <c r="AE514" s="1328"/>
      <c r="AF514" s="1328"/>
      <c r="AG514" s="1328"/>
      <c r="AH514" s="1328"/>
      <c r="AI514" s="1328"/>
      <c r="AJ514" s="1328"/>
      <c r="AK514" s="1328"/>
      <c r="AL514" s="1328"/>
      <c r="AM514" s="1328"/>
      <c r="AN514" s="1329"/>
    </row>
    <row r="515" spans="1:43" ht="25.5" customHeight="1" x14ac:dyDescent="0.35">
      <c r="A515" s="1314"/>
      <c r="B515" s="1315"/>
      <c r="C515" s="1315"/>
      <c r="D515" s="1315"/>
      <c r="E515" s="1315"/>
      <c r="F515" s="1315"/>
      <c r="G515" s="1315"/>
      <c r="H515" s="1315"/>
      <c r="I515" s="1315"/>
      <c r="J515" s="1315"/>
      <c r="K515" s="1315"/>
      <c r="L515" s="1316"/>
      <c r="M515" s="1327"/>
      <c r="N515" s="1328"/>
      <c r="O515" s="1328"/>
      <c r="P515" s="1328"/>
      <c r="Q515" s="1328"/>
      <c r="R515" s="1328"/>
      <c r="S515" s="1328"/>
      <c r="T515" s="1328"/>
      <c r="U515" s="1328"/>
      <c r="V515" s="1328"/>
      <c r="W515" s="1328"/>
      <c r="X515" s="1328"/>
      <c r="Y515" s="1328"/>
      <c r="Z515" s="1328"/>
      <c r="AA515" s="1328"/>
      <c r="AB515" s="1328"/>
      <c r="AC515" s="1328"/>
      <c r="AD515" s="1328"/>
      <c r="AE515" s="1328"/>
      <c r="AF515" s="1328"/>
      <c r="AG515" s="1328"/>
      <c r="AH515" s="1328"/>
      <c r="AI515" s="1328"/>
      <c r="AJ515" s="1328"/>
      <c r="AK515" s="1328"/>
      <c r="AL515" s="1328"/>
      <c r="AM515" s="1328"/>
      <c r="AN515" s="1329"/>
    </row>
    <row r="516" spans="1:43" ht="25.5" customHeight="1" x14ac:dyDescent="0.35">
      <c r="A516" s="1314"/>
      <c r="B516" s="1315"/>
      <c r="C516" s="1315"/>
      <c r="D516" s="1315"/>
      <c r="E516" s="1315"/>
      <c r="F516" s="1315"/>
      <c r="G516" s="1315"/>
      <c r="H516" s="1315"/>
      <c r="I516" s="1315"/>
      <c r="J516" s="1315"/>
      <c r="K516" s="1315"/>
      <c r="L516" s="1316"/>
      <c r="M516" s="1327"/>
      <c r="N516" s="1328"/>
      <c r="O516" s="1328"/>
      <c r="P516" s="1328"/>
      <c r="Q516" s="1328"/>
      <c r="R516" s="1328"/>
      <c r="S516" s="1328"/>
      <c r="T516" s="1328"/>
      <c r="U516" s="1328"/>
      <c r="V516" s="1328"/>
      <c r="W516" s="1328"/>
      <c r="X516" s="1328"/>
      <c r="Y516" s="1328"/>
      <c r="Z516" s="1328"/>
      <c r="AA516" s="1328"/>
      <c r="AB516" s="1328"/>
      <c r="AC516" s="1328"/>
      <c r="AD516" s="1328"/>
      <c r="AE516" s="1328"/>
      <c r="AF516" s="1328"/>
      <c r="AG516" s="1328"/>
      <c r="AH516" s="1328"/>
      <c r="AI516" s="1328"/>
      <c r="AJ516" s="1328"/>
      <c r="AK516" s="1328"/>
      <c r="AL516" s="1328"/>
      <c r="AM516" s="1328"/>
      <c r="AN516" s="1329"/>
    </row>
    <row r="517" spans="1:43" ht="25.5" customHeight="1" x14ac:dyDescent="0.35">
      <c r="A517" s="1314"/>
      <c r="B517" s="1315"/>
      <c r="C517" s="1315"/>
      <c r="D517" s="1315"/>
      <c r="E517" s="1315"/>
      <c r="F517" s="1315"/>
      <c r="G517" s="1315"/>
      <c r="H517" s="1315"/>
      <c r="I517" s="1315"/>
      <c r="J517" s="1315"/>
      <c r="K517" s="1315"/>
      <c r="L517" s="1316"/>
      <c r="M517" s="1327"/>
      <c r="N517" s="1328"/>
      <c r="O517" s="1328"/>
      <c r="P517" s="1328"/>
      <c r="Q517" s="1328"/>
      <c r="R517" s="1328"/>
      <c r="S517" s="1328"/>
      <c r="T517" s="1328"/>
      <c r="U517" s="1328"/>
      <c r="V517" s="1328"/>
      <c r="W517" s="1328"/>
      <c r="X517" s="1328"/>
      <c r="Y517" s="1328"/>
      <c r="Z517" s="1328"/>
      <c r="AA517" s="1328"/>
      <c r="AB517" s="1328"/>
      <c r="AC517" s="1328"/>
      <c r="AD517" s="1328"/>
      <c r="AE517" s="1328"/>
      <c r="AF517" s="1328"/>
      <c r="AG517" s="1328"/>
      <c r="AH517" s="1328"/>
      <c r="AI517" s="1328"/>
      <c r="AJ517" s="1328"/>
      <c r="AK517" s="1328"/>
      <c r="AL517" s="1328"/>
      <c r="AM517" s="1328"/>
      <c r="AN517" s="1329"/>
    </row>
    <row r="518" spans="1:43" ht="25.5" customHeight="1" x14ac:dyDescent="0.35">
      <c r="A518" s="1314"/>
      <c r="B518" s="1315"/>
      <c r="C518" s="1315"/>
      <c r="D518" s="1315"/>
      <c r="E518" s="1315"/>
      <c r="F518" s="1315"/>
      <c r="G518" s="1315"/>
      <c r="H518" s="1315"/>
      <c r="I518" s="1315"/>
      <c r="J518" s="1315"/>
      <c r="K518" s="1315"/>
      <c r="L518" s="1316"/>
      <c r="M518" s="1327"/>
      <c r="N518" s="1328"/>
      <c r="O518" s="1328"/>
      <c r="P518" s="1328"/>
      <c r="Q518" s="1328"/>
      <c r="R518" s="1328"/>
      <c r="S518" s="1328"/>
      <c r="T518" s="1328"/>
      <c r="U518" s="1328"/>
      <c r="V518" s="1328"/>
      <c r="W518" s="1328"/>
      <c r="X518" s="1328"/>
      <c r="Y518" s="1328"/>
      <c r="Z518" s="1328"/>
      <c r="AA518" s="1328"/>
      <c r="AB518" s="1328"/>
      <c r="AC518" s="1328"/>
      <c r="AD518" s="1328"/>
      <c r="AE518" s="1328"/>
      <c r="AF518" s="1328"/>
      <c r="AG518" s="1328"/>
      <c r="AH518" s="1328"/>
      <c r="AI518" s="1328"/>
      <c r="AJ518" s="1328"/>
      <c r="AK518" s="1328"/>
      <c r="AL518" s="1328"/>
      <c r="AM518" s="1328"/>
      <c r="AN518" s="1329"/>
    </row>
    <row r="519" spans="1:43" ht="25.5" customHeight="1" x14ac:dyDescent="0.35">
      <c r="A519" s="1314"/>
      <c r="B519" s="1315"/>
      <c r="C519" s="1315"/>
      <c r="D519" s="1315"/>
      <c r="E519" s="1315"/>
      <c r="F519" s="1315"/>
      <c r="G519" s="1315"/>
      <c r="H519" s="1315"/>
      <c r="I519" s="1315"/>
      <c r="J519" s="1315"/>
      <c r="K519" s="1315"/>
      <c r="L519" s="1316"/>
      <c r="M519" s="1327"/>
      <c r="N519" s="1328"/>
      <c r="O519" s="1328"/>
      <c r="P519" s="1328"/>
      <c r="Q519" s="1328"/>
      <c r="R519" s="1328"/>
      <c r="S519" s="1328"/>
      <c r="T519" s="1328"/>
      <c r="U519" s="1328"/>
      <c r="V519" s="1328"/>
      <c r="W519" s="1328"/>
      <c r="X519" s="1328"/>
      <c r="Y519" s="1328"/>
      <c r="Z519" s="1328"/>
      <c r="AA519" s="1328"/>
      <c r="AB519" s="1328"/>
      <c r="AC519" s="1328"/>
      <c r="AD519" s="1328"/>
      <c r="AE519" s="1328"/>
      <c r="AF519" s="1328"/>
      <c r="AG519" s="1328"/>
      <c r="AH519" s="1328"/>
      <c r="AI519" s="1328"/>
      <c r="AJ519" s="1328"/>
      <c r="AK519" s="1328"/>
      <c r="AL519" s="1328"/>
      <c r="AM519" s="1328"/>
      <c r="AN519" s="1329"/>
    </row>
    <row r="520" spans="1:43" ht="25.5" customHeight="1" x14ac:dyDescent="0.35">
      <c r="A520" s="1314"/>
      <c r="B520" s="1315"/>
      <c r="C520" s="1315"/>
      <c r="D520" s="1315"/>
      <c r="E520" s="1315"/>
      <c r="F520" s="1315"/>
      <c r="G520" s="1315"/>
      <c r="H520" s="1315"/>
      <c r="I520" s="1315"/>
      <c r="J520" s="1315"/>
      <c r="K520" s="1315"/>
      <c r="L520" s="1316"/>
      <c r="M520" s="1327"/>
      <c r="N520" s="1328"/>
      <c r="O520" s="1328"/>
      <c r="P520" s="1328"/>
      <c r="Q520" s="1328"/>
      <c r="R520" s="1328"/>
      <c r="S520" s="1328"/>
      <c r="T520" s="1328"/>
      <c r="U520" s="1328"/>
      <c r="V520" s="1328"/>
      <c r="W520" s="1328"/>
      <c r="X520" s="1328"/>
      <c r="Y520" s="1328"/>
      <c r="Z520" s="1328"/>
      <c r="AA520" s="1328"/>
      <c r="AB520" s="1328"/>
      <c r="AC520" s="1328"/>
      <c r="AD520" s="1328"/>
      <c r="AE520" s="1328"/>
      <c r="AF520" s="1328"/>
      <c r="AG520" s="1328"/>
      <c r="AH520" s="1328"/>
      <c r="AI520" s="1328"/>
      <c r="AJ520" s="1328"/>
      <c r="AK520" s="1328"/>
      <c r="AL520" s="1328"/>
      <c r="AM520" s="1328"/>
      <c r="AN520" s="1329"/>
    </row>
    <row r="521" spans="1:43" ht="25.5" customHeight="1" x14ac:dyDescent="0.35">
      <c r="A521" s="1314"/>
      <c r="B521" s="1315"/>
      <c r="C521" s="1315"/>
      <c r="D521" s="1315"/>
      <c r="E521" s="1315"/>
      <c r="F521" s="1315"/>
      <c r="G521" s="1315"/>
      <c r="H521" s="1315"/>
      <c r="I521" s="1315"/>
      <c r="J521" s="1315"/>
      <c r="K521" s="1315"/>
      <c r="L521" s="1316"/>
      <c r="M521" s="1327"/>
      <c r="N521" s="1328"/>
      <c r="O521" s="1328"/>
      <c r="P521" s="1328"/>
      <c r="Q521" s="1328"/>
      <c r="R521" s="1328"/>
      <c r="S521" s="1328"/>
      <c r="T521" s="1328"/>
      <c r="U521" s="1328"/>
      <c r="V521" s="1328"/>
      <c r="W521" s="1328"/>
      <c r="X521" s="1328"/>
      <c r="Y521" s="1328"/>
      <c r="Z521" s="1328"/>
      <c r="AA521" s="1328"/>
      <c r="AB521" s="1328"/>
      <c r="AC521" s="1328"/>
      <c r="AD521" s="1328"/>
      <c r="AE521" s="1328"/>
      <c r="AF521" s="1328"/>
      <c r="AG521" s="1328"/>
      <c r="AH521" s="1328"/>
      <c r="AI521" s="1328"/>
      <c r="AJ521" s="1328"/>
      <c r="AK521" s="1328"/>
      <c r="AL521" s="1328"/>
      <c r="AM521" s="1328"/>
      <c r="AN521" s="1329"/>
    </row>
    <row r="522" spans="1:43" ht="25.5" customHeight="1" x14ac:dyDescent="0.35">
      <c r="A522" s="1314"/>
      <c r="B522" s="1315"/>
      <c r="C522" s="1315"/>
      <c r="D522" s="1315"/>
      <c r="E522" s="1315"/>
      <c r="F522" s="1315"/>
      <c r="G522" s="1315"/>
      <c r="H522" s="1315"/>
      <c r="I522" s="1315"/>
      <c r="J522" s="1315"/>
      <c r="K522" s="1315"/>
      <c r="L522" s="1316"/>
      <c r="M522" s="1327"/>
      <c r="N522" s="1328"/>
      <c r="O522" s="1328"/>
      <c r="P522" s="1328"/>
      <c r="Q522" s="1328"/>
      <c r="R522" s="1328"/>
      <c r="S522" s="1328"/>
      <c r="T522" s="1328"/>
      <c r="U522" s="1328"/>
      <c r="V522" s="1328"/>
      <c r="W522" s="1328"/>
      <c r="X522" s="1328"/>
      <c r="Y522" s="1328"/>
      <c r="Z522" s="1328"/>
      <c r="AA522" s="1328"/>
      <c r="AB522" s="1328"/>
      <c r="AC522" s="1328"/>
      <c r="AD522" s="1328"/>
      <c r="AE522" s="1328"/>
      <c r="AF522" s="1328"/>
      <c r="AG522" s="1328"/>
      <c r="AH522" s="1328"/>
      <c r="AI522" s="1328"/>
      <c r="AJ522" s="1328"/>
      <c r="AK522" s="1328"/>
      <c r="AL522" s="1328"/>
      <c r="AM522" s="1328"/>
      <c r="AN522" s="1329"/>
    </row>
    <row r="523" spans="1:43" ht="25.5" customHeight="1" x14ac:dyDescent="0.35">
      <c r="A523" s="1314"/>
      <c r="B523" s="1315"/>
      <c r="C523" s="1315"/>
      <c r="D523" s="1315"/>
      <c r="E523" s="1315"/>
      <c r="F523" s="1315"/>
      <c r="G523" s="1315"/>
      <c r="H523" s="1315"/>
      <c r="I523" s="1315"/>
      <c r="J523" s="1315"/>
      <c r="K523" s="1315"/>
      <c r="L523" s="1316"/>
      <c r="M523" s="1327"/>
      <c r="N523" s="1328"/>
      <c r="O523" s="1328"/>
      <c r="P523" s="1328"/>
      <c r="Q523" s="1328"/>
      <c r="R523" s="1328"/>
      <c r="S523" s="1328"/>
      <c r="T523" s="1328"/>
      <c r="U523" s="1328"/>
      <c r="V523" s="1328"/>
      <c r="W523" s="1328"/>
      <c r="X523" s="1328"/>
      <c r="Y523" s="1328"/>
      <c r="Z523" s="1328"/>
      <c r="AA523" s="1328"/>
      <c r="AB523" s="1328"/>
      <c r="AC523" s="1328"/>
      <c r="AD523" s="1328"/>
      <c r="AE523" s="1328"/>
      <c r="AF523" s="1328"/>
      <c r="AG523" s="1328"/>
      <c r="AH523" s="1328"/>
      <c r="AI523" s="1328"/>
      <c r="AJ523" s="1328"/>
      <c r="AK523" s="1328"/>
      <c r="AL523" s="1328"/>
      <c r="AM523" s="1328"/>
      <c r="AN523" s="1329"/>
    </row>
    <row r="524" spans="1:43" ht="25.5" customHeight="1" x14ac:dyDescent="0.35">
      <c r="A524" s="1314"/>
      <c r="B524" s="1315"/>
      <c r="C524" s="1315"/>
      <c r="D524" s="1315"/>
      <c r="E524" s="1315"/>
      <c r="F524" s="1315"/>
      <c r="G524" s="1315"/>
      <c r="H524" s="1315"/>
      <c r="I524" s="1315"/>
      <c r="J524" s="1315"/>
      <c r="K524" s="1315"/>
      <c r="L524" s="1316"/>
      <c r="M524" s="1327"/>
      <c r="N524" s="1328"/>
      <c r="O524" s="1328"/>
      <c r="P524" s="1328"/>
      <c r="Q524" s="1328"/>
      <c r="R524" s="1328"/>
      <c r="S524" s="1328"/>
      <c r="T524" s="1328"/>
      <c r="U524" s="1328"/>
      <c r="V524" s="1328"/>
      <c r="W524" s="1328"/>
      <c r="X524" s="1328"/>
      <c r="Y524" s="1328"/>
      <c r="Z524" s="1328"/>
      <c r="AA524" s="1328"/>
      <c r="AB524" s="1328"/>
      <c r="AC524" s="1328"/>
      <c r="AD524" s="1328"/>
      <c r="AE524" s="1328"/>
      <c r="AF524" s="1328"/>
      <c r="AG524" s="1328"/>
      <c r="AH524" s="1328"/>
      <c r="AI524" s="1328"/>
      <c r="AJ524" s="1328"/>
      <c r="AK524" s="1328"/>
      <c r="AL524" s="1328"/>
      <c r="AM524" s="1328"/>
      <c r="AN524" s="1329"/>
    </row>
    <row r="525" spans="1:43" ht="25.5" customHeight="1" x14ac:dyDescent="0.35">
      <c r="A525" s="1314"/>
      <c r="B525" s="1315"/>
      <c r="C525" s="1315"/>
      <c r="D525" s="1315"/>
      <c r="E525" s="1315"/>
      <c r="F525" s="1315"/>
      <c r="G525" s="1315"/>
      <c r="H525" s="1315"/>
      <c r="I525" s="1315"/>
      <c r="J525" s="1315"/>
      <c r="K525" s="1315"/>
      <c r="L525" s="1316"/>
      <c r="M525" s="1327"/>
      <c r="N525" s="1328"/>
      <c r="O525" s="1328"/>
      <c r="P525" s="1328"/>
      <c r="Q525" s="1328"/>
      <c r="R525" s="1328"/>
      <c r="S525" s="1328"/>
      <c r="T525" s="1328"/>
      <c r="U525" s="1328"/>
      <c r="V525" s="1328"/>
      <c r="W525" s="1328"/>
      <c r="X525" s="1328"/>
      <c r="Y525" s="1328"/>
      <c r="Z525" s="1328"/>
      <c r="AA525" s="1328"/>
      <c r="AB525" s="1328"/>
      <c r="AC525" s="1328"/>
      <c r="AD525" s="1328"/>
      <c r="AE525" s="1328"/>
      <c r="AF525" s="1328"/>
      <c r="AG525" s="1328"/>
      <c r="AH525" s="1328"/>
      <c r="AI525" s="1328"/>
      <c r="AJ525" s="1328"/>
      <c r="AK525" s="1328"/>
      <c r="AL525" s="1328"/>
      <c r="AM525" s="1328"/>
      <c r="AN525" s="1329"/>
    </row>
    <row r="526" spans="1:43" ht="25.5" customHeight="1" x14ac:dyDescent="0.35">
      <c r="A526" s="1314"/>
      <c r="B526" s="1315"/>
      <c r="C526" s="1315"/>
      <c r="D526" s="1315"/>
      <c r="E526" s="1315"/>
      <c r="F526" s="1315"/>
      <c r="G526" s="1315"/>
      <c r="H526" s="1315"/>
      <c r="I526" s="1315"/>
      <c r="J526" s="1315"/>
      <c r="K526" s="1315"/>
      <c r="L526" s="1316"/>
      <c r="M526" s="1327"/>
      <c r="N526" s="1328"/>
      <c r="O526" s="1328"/>
      <c r="P526" s="1328"/>
      <c r="Q526" s="1328"/>
      <c r="R526" s="1328"/>
      <c r="S526" s="1328"/>
      <c r="T526" s="1328"/>
      <c r="U526" s="1328"/>
      <c r="V526" s="1328"/>
      <c r="W526" s="1328"/>
      <c r="X526" s="1328"/>
      <c r="Y526" s="1328"/>
      <c r="Z526" s="1328"/>
      <c r="AA526" s="1328"/>
      <c r="AB526" s="1328"/>
      <c r="AC526" s="1328"/>
      <c r="AD526" s="1328"/>
      <c r="AE526" s="1328"/>
      <c r="AF526" s="1328"/>
      <c r="AG526" s="1328"/>
      <c r="AH526" s="1328"/>
      <c r="AI526" s="1328"/>
      <c r="AJ526" s="1328"/>
      <c r="AK526" s="1328"/>
      <c r="AL526" s="1328"/>
      <c r="AM526" s="1328"/>
      <c r="AN526" s="1329"/>
    </row>
    <row r="527" spans="1:43" ht="26.25" customHeight="1" thickBot="1" x14ac:dyDescent="0.4">
      <c r="A527" s="1317"/>
      <c r="B527" s="1318"/>
      <c r="C527" s="1318"/>
      <c r="D527" s="1318"/>
      <c r="E527" s="1318"/>
      <c r="F527" s="1318"/>
      <c r="G527" s="1318"/>
      <c r="H527" s="1318"/>
      <c r="I527" s="1318"/>
      <c r="J527" s="1318"/>
      <c r="K527" s="1318"/>
      <c r="L527" s="1319"/>
      <c r="M527" s="1330"/>
      <c r="N527" s="1331"/>
      <c r="O527" s="1331"/>
      <c r="P527" s="1331"/>
      <c r="Q527" s="1331"/>
      <c r="R527" s="1331"/>
      <c r="S527" s="1331"/>
      <c r="T527" s="1331"/>
      <c r="U527" s="1331"/>
      <c r="V527" s="1331"/>
      <c r="W527" s="1331"/>
      <c r="X527" s="1331"/>
      <c r="Y527" s="1331"/>
      <c r="Z527" s="1331"/>
      <c r="AA527" s="1331"/>
      <c r="AB527" s="1331"/>
      <c r="AC527" s="1331"/>
      <c r="AD527" s="1331"/>
      <c r="AE527" s="1331"/>
      <c r="AF527" s="1331"/>
      <c r="AG527" s="1331"/>
      <c r="AH527" s="1331"/>
      <c r="AI527" s="1331"/>
      <c r="AJ527" s="1331"/>
      <c r="AK527" s="1331"/>
      <c r="AL527" s="1331"/>
      <c r="AM527" s="1331"/>
      <c r="AN527" s="1332"/>
    </row>
    <row r="528" spans="1:43" s="282" customFormat="1" ht="41.25" customHeight="1" thickBot="1" x14ac:dyDescent="0.6">
      <c r="A528" s="1306" t="s">
        <v>895</v>
      </c>
      <c r="B528" s="1307"/>
      <c r="C528" s="1307"/>
      <c r="D528" s="1307"/>
      <c r="E528" s="1307"/>
      <c r="F528" s="1307"/>
      <c r="G528" s="1307"/>
      <c r="H528" s="1307"/>
      <c r="I528" s="1307"/>
      <c r="J528" s="1307"/>
      <c r="K528" s="1307"/>
      <c r="L528" s="1308"/>
      <c r="M528" s="1309" t="s">
        <v>897</v>
      </c>
      <c r="N528" s="1309"/>
      <c r="O528" s="1309"/>
      <c r="P528" s="1309"/>
      <c r="Q528" s="1309"/>
      <c r="R528" s="1309"/>
      <c r="S528" s="1309"/>
      <c r="T528" s="1309"/>
      <c r="U528" s="1309"/>
      <c r="V528" s="1309"/>
      <c r="W528" s="1309"/>
      <c r="X528" s="1309"/>
      <c r="Y528" s="1309"/>
      <c r="Z528" s="1309"/>
      <c r="AA528" s="1309"/>
      <c r="AB528" s="1309"/>
      <c r="AC528" s="1309"/>
      <c r="AD528" s="1309"/>
      <c r="AE528" s="1309"/>
      <c r="AF528" s="1309"/>
      <c r="AG528" s="1309"/>
      <c r="AH528" s="1309"/>
      <c r="AI528" s="1309"/>
      <c r="AJ528" s="1309"/>
      <c r="AK528" s="1309"/>
      <c r="AL528" s="1309"/>
      <c r="AM528" s="1309"/>
      <c r="AN528" s="1310"/>
      <c r="AO528" s="279"/>
      <c r="AP528" s="280"/>
      <c r="AQ528" s="281"/>
    </row>
    <row r="529" spans="1:40" ht="30.75" customHeight="1" x14ac:dyDescent="0.35">
      <c r="A529" s="1288" t="str">
        <f>CONCATENATE(AN422,AN402,AN391,AN374,AN346,AN328,AN316,AN292,AN238,AN211,AN182,AN124,AN111,AN22,AN8)</f>
        <v/>
      </c>
      <c r="B529" s="1289"/>
      <c r="C529" s="1289"/>
      <c r="D529" s="1289"/>
      <c r="E529" s="1289"/>
      <c r="F529" s="1289"/>
      <c r="G529" s="1289"/>
      <c r="H529" s="1289"/>
      <c r="I529" s="1289"/>
      <c r="J529" s="1289"/>
      <c r="K529" s="1289"/>
      <c r="L529" s="1290"/>
      <c r="M529" s="1297"/>
      <c r="N529" s="1298"/>
      <c r="O529" s="1298"/>
      <c r="P529" s="1298"/>
      <c r="Q529" s="1298"/>
      <c r="R529" s="1298"/>
      <c r="S529" s="1298"/>
      <c r="T529" s="1298"/>
      <c r="U529" s="1298"/>
      <c r="V529" s="1298"/>
      <c r="W529" s="1298"/>
      <c r="X529" s="1298"/>
      <c r="Y529" s="1298"/>
      <c r="Z529" s="1298"/>
      <c r="AA529" s="1298"/>
      <c r="AB529" s="1298"/>
      <c r="AC529" s="1298"/>
      <c r="AD529" s="1298"/>
      <c r="AE529" s="1298"/>
      <c r="AF529" s="1298"/>
      <c r="AG529" s="1298"/>
      <c r="AH529" s="1298"/>
      <c r="AI529" s="1298"/>
      <c r="AJ529" s="1298"/>
      <c r="AK529" s="1298"/>
      <c r="AL529" s="1298"/>
      <c r="AM529" s="1298"/>
      <c r="AN529" s="1299"/>
    </row>
    <row r="530" spans="1:40" ht="30.75" customHeight="1" x14ac:dyDescent="0.35">
      <c r="A530" s="1291"/>
      <c r="B530" s="1292"/>
      <c r="C530" s="1292"/>
      <c r="D530" s="1292"/>
      <c r="E530" s="1292"/>
      <c r="F530" s="1292"/>
      <c r="G530" s="1292"/>
      <c r="H530" s="1292"/>
      <c r="I530" s="1292"/>
      <c r="J530" s="1292"/>
      <c r="K530" s="1292"/>
      <c r="L530" s="1293"/>
      <c r="M530" s="1300"/>
      <c r="N530" s="1301"/>
      <c r="O530" s="1301"/>
      <c r="P530" s="1301"/>
      <c r="Q530" s="1301"/>
      <c r="R530" s="1301"/>
      <c r="S530" s="1301"/>
      <c r="T530" s="1301"/>
      <c r="U530" s="1301"/>
      <c r="V530" s="1301"/>
      <c r="W530" s="1301"/>
      <c r="X530" s="1301"/>
      <c r="Y530" s="1301"/>
      <c r="Z530" s="1301"/>
      <c r="AA530" s="1301"/>
      <c r="AB530" s="1301"/>
      <c r="AC530" s="1301"/>
      <c r="AD530" s="1301"/>
      <c r="AE530" s="1301"/>
      <c r="AF530" s="1301"/>
      <c r="AG530" s="1301"/>
      <c r="AH530" s="1301"/>
      <c r="AI530" s="1301"/>
      <c r="AJ530" s="1301"/>
      <c r="AK530" s="1301"/>
      <c r="AL530" s="1301"/>
      <c r="AM530" s="1301"/>
      <c r="AN530" s="1302"/>
    </row>
    <row r="531" spans="1:40" ht="30.75" customHeight="1" x14ac:dyDescent="0.35">
      <c r="A531" s="1291"/>
      <c r="B531" s="1292"/>
      <c r="C531" s="1292"/>
      <c r="D531" s="1292"/>
      <c r="E531" s="1292"/>
      <c r="F531" s="1292"/>
      <c r="G531" s="1292"/>
      <c r="H531" s="1292"/>
      <c r="I531" s="1292"/>
      <c r="J531" s="1292"/>
      <c r="K531" s="1292"/>
      <c r="L531" s="1293"/>
      <c r="M531" s="1300"/>
      <c r="N531" s="1301"/>
      <c r="O531" s="1301"/>
      <c r="P531" s="1301"/>
      <c r="Q531" s="1301"/>
      <c r="R531" s="1301"/>
      <c r="S531" s="1301"/>
      <c r="T531" s="1301"/>
      <c r="U531" s="1301"/>
      <c r="V531" s="1301"/>
      <c r="W531" s="1301"/>
      <c r="X531" s="1301"/>
      <c r="Y531" s="1301"/>
      <c r="Z531" s="1301"/>
      <c r="AA531" s="1301"/>
      <c r="AB531" s="1301"/>
      <c r="AC531" s="1301"/>
      <c r="AD531" s="1301"/>
      <c r="AE531" s="1301"/>
      <c r="AF531" s="1301"/>
      <c r="AG531" s="1301"/>
      <c r="AH531" s="1301"/>
      <c r="AI531" s="1301"/>
      <c r="AJ531" s="1301"/>
      <c r="AK531" s="1301"/>
      <c r="AL531" s="1301"/>
      <c r="AM531" s="1301"/>
      <c r="AN531" s="1302"/>
    </row>
    <row r="532" spans="1:40" ht="30.75" customHeight="1" x14ac:dyDescent="0.35">
      <c r="A532" s="1291"/>
      <c r="B532" s="1292"/>
      <c r="C532" s="1292"/>
      <c r="D532" s="1292"/>
      <c r="E532" s="1292"/>
      <c r="F532" s="1292"/>
      <c r="G532" s="1292"/>
      <c r="H532" s="1292"/>
      <c r="I532" s="1292"/>
      <c r="J532" s="1292"/>
      <c r="K532" s="1292"/>
      <c r="L532" s="1293"/>
      <c r="M532" s="1300"/>
      <c r="N532" s="1301"/>
      <c r="O532" s="1301"/>
      <c r="P532" s="1301"/>
      <c r="Q532" s="1301"/>
      <c r="R532" s="1301"/>
      <c r="S532" s="1301"/>
      <c r="T532" s="1301"/>
      <c r="U532" s="1301"/>
      <c r="V532" s="1301"/>
      <c r="W532" s="1301"/>
      <c r="X532" s="1301"/>
      <c r="Y532" s="1301"/>
      <c r="Z532" s="1301"/>
      <c r="AA532" s="1301"/>
      <c r="AB532" s="1301"/>
      <c r="AC532" s="1301"/>
      <c r="AD532" s="1301"/>
      <c r="AE532" s="1301"/>
      <c r="AF532" s="1301"/>
      <c r="AG532" s="1301"/>
      <c r="AH532" s="1301"/>
      <c r="AI532" s="1301"/>
      <c r="AJ532" s="1301"/>
      <c r="AK532" s="1301"/>
      <c r="AL532" s="1301"/>
      <c r="AM532" s="1301"/>
      <c r="AN532" s="1302"/>
    </row>
    <row r="533" spans="1:40" ht="30.75" customHeight="1" x14ac:dyDescent="0.35">
      <c r="A533" s="1291"/>
      <c r="B533" s="1292"/>
      <c r="C533" s="1292"/>
      <c r="D533" s="1292"/>
      <c r="E533" s="1292"/>
      <c r="F533" s="1292"/>
      <c r="G533" s="1292"/>
      <c r="H533" s="1292"/>
      <c r="I533" s="1292"/>
      <c r="J533" s="1292"/>
      <c r="K533" s="1292"/>
      <c r="L533" s="1293"/>
      <c r="M533" s="1300"/>
      <c r="N533" s="1301"/>
      <c r="O533" s="1301"/>
      <c r="P533" s="1301"/>
      <c r="Q533" s="1301"/>
      <c r="R533" s="1301"/>
      <c r="S533" s="1301"/>
      <c r="T533" s="1301"/>
      <c r="U533" s="1301"/>
      <c r="V533" s="1301"/>
      <c r="W533" s="1301"/>
      <c r="X533" s="1301"/>
      <c r="Y533" s="1301"/>
      <c r="Z533" s="1301"/>
      <c r="AA533" s="1301"/>
      <c r="AB533" s="1301"/>
      <c r="AC533" s="1301"/>
      <c r="AD533" s="1301"/>
      <c r="AE533" s="1301"/>
      <c r="AF533" s="1301"/>
      <c r="AG533" s="1301"/>
      <c r="AH533" s="1301"/>
      <c r="AI533" s="1301"/>
      <c r="AJ533" s="1301"/>
      <c r="AK533" s="1301"/>
      <c r="AL533" s="1301"/>
      <c r="AM533" s="1301"/>
      <c r="AN533" s="1302"/>
    </row>
    <row r="534" spans="1:40" ht="30.75" customHeight="1" x14ac:dyDescent="0.35">
      <c r="A534" s="1291"/>
      <c r="B534" s="1292"/>
      <c r="C534" s="1292"/>
      <c r="D534" s="1292"/>
      <c r="E534" s="1292"/>
      <c r="F534" s="1292"/>
      <c r="G534" s="1292"/>
      <c r="H534" s="1292"/>
      <c r="I534" s="1292"/>
      <c r="J534" s="1292"/>
      <c r="K534" s="1292"/>
      <c r="L534" s="1293"/>
      <c r="M534" s="1300"/>
      <c r="N534" s="1301"/>
      <c r="O534" s="1301"/>
      <c r="P534" s="1301"/>
      <c r="Q534" s="1301"/>
      <c r="R534" s="1301"/>
      <c r="S534" s="1301"/>
      <c r="T534" s="1301"/>
      <c r="U534" s="1301"/>
      <c r="V534" s="1301"/>
      <c r="W534" s="1301"/>
      <c r="X534" s="1301"/>
      <c r="Y534" s="1301"/>
      <c r="Z534" s="1301"/>
      <c r="AA534" s="1301"/>
      <c r="AB534" s="1301"/>
      <c r="AC534" s="1301"/>
      <c r="AD534" s="1301"/>
      <c r="AE534" s="1301"/>
      <c r="AF534" s="1301"/>
      <c r="AG534" s="1301"/>
      <c r="AH534" s="1301"/>
      <c r="AI534" s="1301"/>
      <c r="AJ534" s="1301"/>
      <c r="AK534" s="1301"/>
      <c r="AL534" s="1301"/>
      <c r="AM534" s="1301"/>
      <c r="AN534" s="1302"/>
    </row>
    <row r="535" spans="1:40" ht="30.75" customHeight="1" x14ac:dyDescent="0.35">
      <c r="A535" s="1291"/>
      <c r="B535" s="1292"/>
      <c r="C535" s="1292"/>
      <c r="D535" s="1292"/>
      <c r="E535" s="1292"/>
      <c r="F535" s="1292"/>
      <c r="G535" s="1292"/>
      <c r="H535" s="1292"/>
      <c r="I535" s="1292"/>
      <c r="J535" s="1292"/>
      <c r="K535" s="1292"/>
      <c r="L535" s="1293"/>
      <c r="M535" s="1300"/>
      <c r="N535" s="1301"/>
      <c r="O535" s="1301"/>
      <c r="P535" s="1301"/>
      <c r="Q535" s="1301"/>
      <c r="R535" s="1301"/>
      <c r="S535" s="1301"/>
      <c r="T535" s="1301"/>
      <c r="U535" s="1301"/>
      <c r="V535" s="1301"/>
      <c r="W535" s="1301"/>
      <c r="X535" s="1301"/>
      <c r="Y535" s="1301"/>
      <c r="Z535" s="1301"/>
      <c r="AA535" s="1301"/>
      <c r="AB535" s="1301"/>
      <c r="AC535" s="1301"/>
      <c r="AD535" s="1301"/>
      <c r="AE535" s="1301"/>
      <c r="AF535" s="1301"/>
      <c r="AG535" s="1301"/>
      <c r="AH535" s="1301"/>
      <c r="AI535" s="1301"/>
      <c r="AJ535" s="1301"/>
      <c r="AK535" s="1301"/>
      <c r="AL535" s="1301"/>
      <c r="AM535" s="1301"/>
      <c r="AN535" s="1302"/>
    </row>
    <row r="536" spans="1:40" ht="30.75" customHeight="1" x14ac:dyDescent="0.35">
      <c r="A536" s="1291"/>
      <c r="B536" s="1292"/>
      <c r="C536" s="1292"/>
      <c r="D536" s="1292"/>
      <c r="E536" s="1292"/>
      <c r="F536" s="1292"/>
      <c r="G536" s="1292"/>
      <c r="H536" s="1292"/>
      <c r="I536" s="1292"/>
      <c r="J536" s="1292"/>
      <c r="K536" s="1292"/>
      <c r="L536" s="1293"/>
      <c r="M536" s="1300"/>
      <c r="N536" s="1301"/>
      <c r="O536" s="1301"/>
      <c r="P536" s="1301"/>
      <c r="Q536" s="1301"/>
      <c r="R536" s="1301"/>
      <c r="S536" s="1301"/>
      <c r="T536" s="1301"/>
      <c r="U536" s="1301"/>
      <c r="V536" s="1301"/>
      <c r="W536" s="1301"/>
      <c r="X536" s="1301"/>
      <c r="Y536" s="1301"/>
      <c r="Z536" s="1301"/>
      <c r="AA536" s="1301"/>
      <c r="AB536" s="1301"/>
      <c r="AC536" s="1301"/>
      <c r="AD536" s="1301"/>
      <c r="AE536" s="1301"/>
      <c r="AF536" s="1301"/>
      <c r="AG536" s="1301"/>
      <c r="AH536" s="1301"/>
      <c r="AI536" s="1301"/>
      <c r="AJ536" s="1301"/>
      <c r="AK536" s="1301"/>
      <c r="AL536" s="1301"/>
      <c r="AM536" s="1301"/>
      <c r="AN536" s="1302"/>
    </row>
    <row r="537" spans="1:40" ht="30.75" customHeight="1" x14ac:dyDescent="0.35">
      <c r="A537" s="1291"/>
      <c r="B537" s="1292"/>
      <c r="C537" s="1292"/>
      <c r="D537" s="1292"/>
      <c r="E537" s="1292"/>
      <c r="F537" s="1292"/>
      <c r="G537" s="1292"/>
      <c r="H537" s="1292"/>
      <c r="I537" s="1292"/>
      <c r="J537" s="1292"/>
      <c r="K537" s="1292"/>
      <c r="L537" s="1293"/>
      <c r="M537" s="1300"/>
      <c r="N537" s="1301"/>
      <c r="O537" s="1301"/>
      <c r="P537" s="1301"/>
      <c r="Q537" s="1301"/>
      <c r="R537" s="1301"/>
      <c r="S537" s="1301"/>
      <c r="T537" s="1301"/>
      <c r="U537" s="1301"/>
      <c r="V537" s="1301"/>
      <c r="W537" s="1301"/>
      <c r="X537" s="1301"/>
      <c r="Y537" s="1301"/>
      <c r="Z537" s="1301"/>
      <c r="AA537" s="1301"/>
      <c r="AB537" s="1301"/>
      <c r="AC537" s="1301"/>
      <c r="AD537" s="1301"/>
      <c r="AE537" s="1301"/>
      <c r="AF537" s="1301"/>
      <c r="AG537" s="1301"/>
      <c r="AH537" s="1301"/>
      <c r="AI537" s="1301"/>
      <c r="AJ537" s="1301"/>
      <c r="AK537" s="1301"/>
      <c r="AL537" s="1301"/>
      <c r="AM537" s="1301"/>
      <c r="AN537" s="1302"/>
    </row>
    <row r="538" spans="1:40" ht="30.75" customHeight="1" x14ac:dyDescent="0.35">
      <c r="A538" s="1291"/>
      <c r="B538" s="1292"/>
      <c r="C538" s="1292"/>
      <c r="D538" s="1292"/>
      <c r="E538" s="1292"/>
      <c r="F538" s="1292"/>
      <c r="G538" s="1292"/>
      <c r="H538" s="1292"/>
      <c r="I538" s="1292"/>
      <c r="J538" s="1292"/>
      <c r="K538" s="1292"/>
      <c r="L538" s="1293"/>
      <c r="M538" s="1300"/>
      <c r="N538" s="1301"/>
      <c r="O538" s="1301"/>
      <c r="P538" s="1301"/>
      <c r="Q538" s="1301"/>
      <c r="R538" s="1301"/>
      <c r="S538" s="1301"/>
      <c r="T538" s="1301"/>
      <c r="U538" s="1301"/>
      <c r="V538" s="1301"/>
      <c r="W538" s="1301"/>
      <c r="X538" s="1301"/>
      <c r="Y538" s="1301"/>
      <c r="Z538" s="1301"/>
      <c r="AA538" s="1301"/>
      <c r="AB538" s="1301"/>
      <c r="AC538" s="1301"/>
      <c r="AD538" s="1301"/>
      <c r="AE538" s="1301"/>
      <c r="AF538" s="1301"/>
      <c r="AG538" s="1301"/>
      <c r="AH538" s="1301"/>
      <c r="AI538" s="1301"/>
      <c r="AJ538" s="1301"/>
      <c r="AK538" s="1301"/>
      <c r="AL538" s="1301"/>
      <c r="AM538" s="1301"/>
      <c r="AN538" s="1302"/>
    </row>
    <row r="539" spans="1:40" ht="30.75" customHeight="1" x14ac:dyDescent="0.35">
      <c r="A539" s="1291"/>
      <c r="B539" s="1292"/>
      <c r="C539" s="1292"/>
      <c r="D539" s="1292"/>
      <c r="E539" s="1292"/>
      <c r="F539" s="1292"/>
      <c r="G539" s="1292"/>
      <c r="H539" s="1292"/>
      <c r="I539" s="1292"/>
      <c r="J539" s="1292"/>
      <c r="K539" s="1292"/>
      <c r="L539" s="1293"/>
      <c r="M539" s="1300"/>
      <c r="N539" s="1301"/>
      <c r="O539" s="1301"/>
      <c r="P539" s="1301"/>
      <c r="Q539" s="1301"/>
      <c r="R539" s="1301"/>
      <c r="S539" s="1301"/>
      <c r="T539" s="1301"/>
      <c r="U539" s="1301"/>
      <c r="V539" s="1301"/>
      <c r="W539" s="1301"/>
      <c r="X539" s="1301"/>
      <c r="Y539" s="1301"/>
      <c r="Z539" s="1301"/>
      <c r="AA539" s="1301"/>
      <c r="AB539" s="1301"/>
      <c r="AC539" s="1301"/>
      <c r="AD539" s="1301"/>
      <c r="AE539" s="1301"/>
      <c r="AF539" s="1301"/>
      <c r="AG539" s="1301"/>
      <c r="AH539" s="1301"/>
      <c r="AI539" s="1301"/>
      <c r="AJ539" s="1301"/>
      <c r="AK539" s="1301"/>
      <c r="AL539" s="1301"/>
      <c r="AM539" s="1301"/>
      <c r="AN539" s="1302"/>
    </row>
    <row r="540" spans="1:40" ht="30.75" customHeight="1" x14ac:dyDescent="0.35">
      <c r="A540" s="1291"/>
      <c r="B540" s="1292"/>
      <c r="C540" s="1292"/>
      <c r="D540" s="1292"/>
      <c r="E540" s="1292"/>
      <c r="F540" s="1292"/>
      <c r="G540" s="1292"/>
      <c r="H540" s="1292"/>
      <c r="I540" s="1292"/>
      <c r="J540" s="1292"/>
      <c r="K540" s="1292"/>
      <c r="L540" s="1293"/>
      <c r="M540" s="1300"/>
      <c r="N540" s="1301"/>
      <c r="O540" s="1301"/>
      <c r="P540" s="1301"/>
      <c r="Q540" s="1301"/>
      <c r="R540" s="1301"/>
      <c r="S540" s="1301"/>
      <c r="T540" s="1301"/>
      <c r="U540" s="1301"/>
      <c r="V540" s="1301"/>
      <c r="W540" s="1301"/>
      <c r="X540" s="1301"/>
      <c r="Y540" s="1301"/>
      <c r="Z540" s="1301"/>
      <c r="AA540" s="1301"/>
      <c r="AB540" s="1301"/>
      <c r="AC540" s="1301"/>
      <c r="AD540" s="1301"/>
      <c r="AE540" s="1301"/>
      <c r="AF540" s="1301"/>
      <c r="AG540" s="1301"/>
      <c r="AH540" s="1301"/>
      <c r="AI540" s="1301"/>
      <c r="AJ540" s="1301"/>
      <c r="AK540" s="1301"/>
      <c r="AL540" s="1301"/>
      <c r="AM540" s="1301"/>
      <c r="AN540" s="1302"/>
    </row>
    <row r="541" spans="1:40" ht="30.75" customHeight="1" x14ac:dyDescent="0.35">
      <c r="A541" s="1291"/>
      <c r="B541" s="1292"/>
      <c r="C541" s="1292"/>
      <c r="D541" s="1292"/>
      <c r="E541" s="1292"/>
      <c r="F541" s="1292"/>
      <c r="G541" s="1292"/>
      <c r="H541" s="1292"/>
      <c r="I541" s="1292"/>
      <c r="J541" s="1292"/>
      <c r="K541" s="1292"/>
      <c r="L541" s="1293"/>
      <c r="M541" s="1300"/>
      <c r="N541" s="1301"/>
      <c r="O541" s="1301"/>
      <c r="P541" s="1301"/>
      <c r="Q541" s="1301"/>
      <c r="R541" s="1301"/>
      <c r="S541" s="1301"/>
      <c r="T541" s="1301"/>
      <c r="U541" s="1301"/>
      <c r="V541" s="1301"/>
      <c r="W541" s="1301"/>
      <c r="X541" s="1301"/>
      <c r="Y541" s="1301"/>
      <c r="Z541" s="1301"/>
      <c r="AA541" s="1301"/>
      <c r="AB541" s="1301"/>
      <c r="AC541" s="1301"/>
      <c r="AD541" s="1301"/>
      <c r="AE541" s="1301"/>
      <c r="AF541" s="1301"/>
      <c r="AG541" s="1301"/>
      <c r="AH541" s="1301"/>
      <c r="AI541" s="1301"/>
      <c r="AJ541" s="1301"/>
      <c r="AK541" s="1301"/>
      <c r="AL541" s="1301"/>
      <c r="AM541" s="1301"/>
      <c r="AN541" s="1302"/>
    </row>
    <row r="542" spans="1:40" ht="30.75" customHeight="1" x14ac:dyDescent="0.35">
      <c r="A542" s="1291"/>
      <c r="B542" s="1292"/>
      <c r="C542" s="1292"/>
      <c r="D542" s="1292"/>
      <c r="E542" s="1292"/>
      <c r="F542" s="1292"/>
      <c r="G542" s="1292"/>
      <c r="H542" s="1292"/>
      <c r="I542" s="1292"/>
      <c r="J542" s="1292"/>
      <c r="K542" s="1292"/>
      <c r="L542" s="1293"/>
      <c r="M542" s="1300"/>
      <c r="N542" s="1301"/>
      <c r="O542" s="1301"/>
      <c r="P542" s="1301"/>
      <c r="Q542" s="1301"/>
      <c r="R542" s="1301"/>
      <c r="S542" s="1301"/>
      <c r="T542" s="1301"/>
      <c r="U542" s="1301"/>
      <c r="V542" s="1301"/>
      <c r="W542" s="1301"/>
      <c r="X542" s="1301"/>
      <c r="Y542" s="1301"/>
      <c r="Z542" s="1301"/>
      <c r="AA542" s="1301"/>
      <c r="AB542" s="1301"/>
      <c r="AC542" s="1301"/>
      <c r="AD542" s="1301"/>
      <c r="AE542" s="1301"/>
      <c r="AF542" s="1301"/>
      <c r="AG542" s="1301"/>
      <c r="AH542" s="1301"/>
      <c r="AI542" s="1301"/>
      <c r="AJ542" s="1301"/>
      <c r="AK542" s="1301"/>
      <c r="AL542" s="1301"/>
      <c r="AM542" s="1301"/>
      <c r="AN542" s="1302"/>
    </row>
    <row r="543" spans="1:40" ht="30.75" customHeight="1" x14ac:dyDescent="0.35">
      <c r="A543" s="1291"/>
      <c r="B543" s="1292"/>
      <c r="C543" s="1292"/>
      <c r="D543" s="1292"/>
      <c r="E543" s="1292"/>
      <c r="F543" s="1292"/>
      <c r="G543" s="1292"/>
      <c r="H543" s="1292"/>
      <c r="I543" s="1292"/>
      <c r="J543" s="1292"/>
      <c r="K543" s="1292"/>
      <c r="L543" s="1293"/>
      <c r="M543" s="1300"/>
      <c r="N543" s="1301"/>
      <c r="O543" s="1301"/>
      <c r="P543" s="1301"/>
      <c r="Q543" s="1301"/>
      <c r="R543" s="1301"/>
      <c r="S543" s="1301"/>
      <c r="T543" s="1301"/>
      <c r="U543" s="1301"/>
      <c r="V543" s="1301"/>
      <c r="W543" s="1301"/>
      <c r="X543" s="1301"/>
      <c r="Y543" s="1301"/>
      <c r="Z543" s="1301"/>
      <c r="AA543" s="1301"/>
      <c r="AB543" s="1301"/>
      <c r="AC543" s="1301"/>
      <c r="AD543" s="1301"/>
      <c r="AE543" s="1301"/>
      <c r="AF543" s="1301"/>
      <c r="AG543" s="1301"/>
      <c r="AH543" s="1301"/>
      <c r="AI543" s="1301"/>
      <c r="AJ543" s="1301"/>
      <c r="AK543" s="1301"/>
      <c r="AL543" s="1301"/>
      <c r="AM543" s="1301"/>
      <c r="AN543" s="1302"/>
    </row>
    <row r="544" spans="1:40" ht="30.75" customHeight="1" x14ac:dyDescent="0.35">
      <c r="A544" s="1291"/>
      <c r="B544" s="1292"/>
      <c r="C544" s="1292"/>
      <c r="D544" s="1292"/>
      <c r="E544" s="1292"/>
      <c r="F544" s="1292"/>
      <c r="G544" s="1292"/>
      <c r="H544" s="1292"/>
      <c r="I544" s="1292"/>
      <c r="J544" s="1292"/>
      <c r="K544" s="1292"/>
      <c r="L544" s="1293"/>
      <c r="M544" s="1300"/>
      <c r="N544" s="1301"/>
      <c r="O544" s="1301"/>
      <c r="P544" s="1301"/>
      <c r="Q544" s="1301"/>
      <c r="R544" s="1301"/>
      <c r="S544" s="1301"/>
      <c r="T544" s="1301"/>
      <c r="U544" s="1301"/>
      <c r="V544" s="1301"/>
      <c r="W544" s="1301"/>
      <c r="X544" s="1301"/>
      <c r="Y544" s="1301"/>
      <c r="Z544" s="1301"/>
      <c r="AA544" s="1301"/>
      <c r="AB544" s="1301"/>
      <c r="AC544" s="1301"/>
      <c r="AD544" s="1301"/>
      <c r="AE544" s="1301"/>
      <c r="AF544" s="1301"/>
      <c r="AG544" s="1301"/>
      <c r="AH544" s="1301"/>
      <c r="AI544" s="1301"/>
      <c r="AJ544" s="1301"/>
      <c r="AK544" s="1301"/>
      <c r="AL544" s="1301"/>
      <c r="AM544" s="1301"/>
      <c r="AN544" s="1302"/>
    </row>
    <row r="545" spans="1:40" ht="30.75" customHeight="1" x14ac:dyDescent="0.35">
      <c r="A545" s="1291"/>
      <c r="B545" s="1292"/>
      <c r="C545" s="1292"/>
      <c r="D545" s="1292"/>
      <c r="E545" s="1292"/>
      <c r="F545" s="1292"/>
      <c r="G545" s="1292"/>
      <c r="H545" s="1292"/>
      <c r="I545" s="1292"/>
      <c r="J545" s="1292"/>
      <c r="K545" s="1292"/>
      <c r="L545" s="1293"/>
      <c r="M545" s="1300"/>
      <c r="N545" s="1301"/>
      <c r="O545" s="1301"/>
      <c r="P545" s="1301"/>
      <c r="Q545" s="1301"/>
      <c r="R545" s="1301"/>
      <c r="S545" s="1301"/>
      <c r="T545" s="1301"/>
      <c r="U545" s="1301"/>
      <c r="V545" s="1301"/>
      <c r="W545" s="1301"/>
      <c r="X545" s="1301"/>
      <c r="Y545" s="1301"/>
      <c r="Z545" s="1301"/>
      <c r="AA545" s="1301"/>
      <c r="AB545" s="1301"/>
      <c r="AC545" s="1301"/>
      <c r="AD545" s="1301"/>
      <c r="AE545" s="1301"/>
      <c r="AF545" s="1301"/>
      <c r="AG545" s="1301"/>
      <c r="AH545" s="1301"/>
      <c r="AI545" s="1301"/>
      <c r="AJ545" s="1301"/>
      <c r="AK545" s="1301"/>
      <c r="AL545" s="1301"/>
      <c r="AM545" s="1301"/>
      <c r="AN545" s="1302"/>
    </row>
    <row r="546" spans="1:40" ht="30.75" customHeight="1" x14ac:dyDescent="0.35">
      <c r="A546" s="1291"/>
      <c r="B546" s="1292"/>
      <c r="C546" s="1292"/>
      <c r="D546" s="1292"/>
      <c r="E546" s="1292"/>
      <c r="F546" s="1292"/>
      <c r="G546" s="1292"/>
      <c r="H546" s="1292"/>
      <c r="I546" s="1292"/>
      <c r="J546" s="1292"/>
      <c r="K546" s="1292"/>
      <c r="L546" s="1293"/>
      <c r="M546" s="1300"/>
      <c r="N546" s="1301"/>
      <c r="O546" s="1301"/>
      <c r="P546" s="1301"/>
      <c r="Q546" s="1301"/>
      <c r="R546" s="1301"/>
      <c r="S546" s="1301"/>
      <c r="T546" s="1301"/>
      <c r="U546" s="1301"/>
      <c r="V546" s="1301"/>
      <c r="W546" s="1301"/>
      <c r="X546" s="1301"/>
      <c r="Y546" s="1301"/>
      <c r="Z546" s="1301"/>
      <c r="AA546" s="1301"/>
      <c r="AB546" s="1301"/>
      <c r="AC546" s="1301"/>
      <c r="AD546" s="1301"/>
      <c r="AE546" s="1301"/>
      <c r="AF546" s="1301"/>
      <c r="AG546" s="1301"/>
      <c r="AH546" s="1301"/>
      <c r="AI546" s="1301"/>
      <c r="AJ546" s="1301"/>
      <c r="AK546" s="1301"/>
      <c r="AL546" s="1301"/>
      <c r="AM546" s="1301"/>
      <c r="AN546" s="1302"/>
    </row>
    <row r="547" spans="1:40" ht="30.75" customHeight="1" x14ac:dyDescent="0.35">
      <c r="A547" s="1291"/>
      <c r="B547" s="1292"/>
      <c r="C547" s="1292"/>
      <c r="D547" s="1292"/>
      <c r="E547" s="1292"/>
      <c r="F547" s="1292"/>
      <c r="G547" s="1292"/>
      <c r="H547" s="1292"/>
      <c r="I547" s="1292"/>
      <c r="J547" s="1292"/>
      <c r="K547" s="1292"/>
      <c r="L547" s="1293"/>
      <c r="M547" s="1300"/>
      <c r="N547" s="1301"/>
      <c r="O547" s="1301"/>
      <c r="P547" s="1301"/>
      <c r="Q547" s="1301"/>
      <c r="R547" s="1301"/>
      <c r="S547" s="1301"/>
      <c r="T547" s="1301"/>
      <c r="U547" s="1301"/>
      <c r="V547" s="1301"/>
      <c r="W547" s="1301"/>
      <c r="X547" s="1301"/>
      <c r="Y547" s="1301"/>
      <c r="Z547" s="1301"/>
      <c r="AA547" s="1301"/>
      <c r="AB547" s="1301"/>
      <c r="AC547" s="1301"/>
      <c r="AD547" s="1301"/>
      <c r="AE547" s="1301"/>
      <c r="AF547" s="1301"/>
      <c r="AG547" s="1301"/>
      <c r="AH547" s="1301"/>
      <c r="AI547" s="1301"/>
      <c r="AJ547" s="1301"/>
      <c r="AK547" s="1301"/>
      <c r="AL547" s="1301"/>
      <c r="AM547" s="1301"/>
      <c r="AN547" s="1302"/>
    </row>
    <row r="548" spans="1:40" ht="30.75" customHeight="1" x14ac:dyDescent="0.35">
      <c r="A548" s="1291"/>
      <c r="B548" s="1292"/>
      <c r="C548" s="1292"/>
      <c r="D548" s="1292"/>
      <c r="E548" s="1292"/>
      <c r="F548" s="1292"/>
      <c r="G548" s="1292"/>
      <c r="H548" s="1292"/>
      <c r="I548" s="1292"/>
      <c r="J548" s="1292"/>
      <c r="K548" s="1292"/>
      <c r="L548" s="1293"/>
      <c r="M548" s="1300"/>
      <c r="N548" s="1301"/>
      <c r="O548" s="1301"/>
      <c r="P548" s="1301"/>
      <c r="Q548" s="1301"/>
      <c r="R548" s="1301"/>
      <c r="S548" s="1301"/>
      <c r="T548" s="1301"/>
      <c r="U548" s="1301"/>
      <c r="V548" s="1301"/>
      <c r="W548" s="1301"/>
      <c r="X548" s="1301"/>
      <c r="Y548" s="1301"/>
      <c r="Z548" s="1301"/>
      <c r="AA548" s="1301"/>
      <c r="AB548" s="1301"/>
      <c r="AC548" s="1301"/>
      <c r="AD548" s="1301"/>
      <c r="AE548" s="1301"/>
      <c r="AF548" s="1301"/>
      <c r="AG548" s="1301"/>
      <c r="AH548" s="1301"/>
      <c r="AI548" s="1301"/>
      <c r="AJ548" s="1301"/>
      <c r="AK548" s="1301"/>
      <c r="AL548" s="1301"/>
      <c r="AM548" s="1301"/>
      <c r="AN548" s="1302"/>
    </row>
    <row r="549" spans="1:40" ht="30.75" customHeight="1" x14ac:dyDescent="0.35">
      <c r="A549" s="1291"/>
      <c r="B549" s="1292"/>
      <c r="C549" s="1292"/>
      <c r="D549" s="1292"/>
      <c r="E549" s="1292"/>
      <c r="F549" s="1292"/>
      <c r="G549" s="1292"/>
      <c r="H549" s="1292"/>
      <c r="I549" s="1292"/>
      <c r="J549" s="1292"/>
      <c r="K549" s="1292"/>
      <c r="L549" s="1293"/>
      <c r="M549" s="1300"/>
      <c r="N549" s="1301"/>
      <c r="O549" s="1301"/>
      <c r="P549" s="1301"/>
      <c r="Q549" s="1301"/>
      <c r="R549" s="1301"/>
      <c r="S549" s="1301"/>
      <c r="T549" s="1301"/>
      <c r="U549" s="1301"/>
      <c r="V549" s="1301"/>
      <c r="W549" s="1301"/>
      <c r="X549" s="1301"/>
      <c r="Y549" s="1301"/>
      <c r="Z549" s="1301"/>
      <c r="AA549" s="1301"/>
      <c r="AB549" s="1301"/>
      <c r="AC549" s="1301"/>
      <c r="AD549" s="1301"/>
      <c r="AE549" s="1301"/>
      <c r="AF549" s="1301"/>
      <c r="AG549" s="1301"/>
      <c r="AH549" s="1301"/>
      <c r="AI549" s="1301"/>
      <c r="AJ549" s="1301"/>
      <c r="AK549" s="1301"/>
      <c r="AL549" s="1301"/>
      <c r="AM549" s="1301"/>
      <c r="AN549" s="1302"/>
    </row>
    <row r="550" spans="1:40" ht="30.75" customHeight="1" x14ac:dyDescent="0.35">
      <c r="A550" s="1291"/>
      <c r="B550" s="1292"/>
      <c r="C550" s="1292"/>
      <c r="D550" s="1292"/>
      <c r="E550" s="1292"/>
      <c r="F550" s="1292"/>
      <c r="G550" s="1292"/>
      <c r="H550" s="1292"/>
      <c r="I550" s="1292"/>
      <c r="J550" s="1292"/>
      <c r="K550" s="1292"/>
      <c r="L550" s="1293"/>
      <c r="M550" s="1300"/>
      <c r="N550" s="1301"/>
      <c r="O550" s="1301"/>
      <c r="P550" s="1301"/>
      <c r="Q550" s="1301"/>
      <c r="R550" s="1301"/>
      <c r="S550" s="1301"/>
      <c r="T550" s="1301"/>
      <c r="U550" s="1301"/>
      <c r="V550" s="1301"/>
      <c r="W550" s="1301"/>
      <c r="X550" s="1301"/>
      <c r="Y550" s="1301"/>
      <c r="Z550" s="1301"/>
      <c r="AA550" s="1301"/>
      <c r="AB550" s="1301"/>
      <c r="AC550" s="1301"/>
      <c r="AD550" s="1301"/>
      <c r="AE550" s="1301"/>
      <c r="AF550" s="1301"/>
      <c r="AG550" s="1301"/>
      <c r="AH550" s="1301"/>
      <c r="AI550" s="1301"/>
      <c r="AJ550" s="1301"/>
      <c r="AK550" s="1301"/>
      <c r="AL550" s="1301"/>
      <c r="AM550" s="1301"/>
      <c r="AN550" s="1302"/>
    </row>
    <row r="551" spans="1:40" ht="30.75" customHeight="1" x14ac:dyDescent="0.35">
      <c r="A551" s="1291"/>
      <c r="B551" s="1292"/>
      <c r="C551" s="1292"/>
      <c r="D551" s="1292"/>
      <c r="E551" s="1292"/>
      <c r="F551" s="1292"/>
      <c r="G551" s="1292"/>
      <c r="H551" s="1292"/>
      <c r="I551" s="1292"/>
      <c r="J551" s="1292"/>
      <c r="K551" s="1292"/>
      <c r="L551" s="1293"/>
      <c r="M551" s="1300"/>
      <c r="N551" s="1301"/>
      <c r="O551" s="1301"/>
      <c r="P551" s="1301"/>
      <c r="Q551" s="1301"/>
      <c r="R551" s="1301"/>
      <c r="S551" s="1301"/>
      <c r="T551" s="1301"/>
      <c r="U551" s="1301"/>
      <c r="V551" s="1301"/>
      <c r="W551" s="1301"/>
      <c r="X551" s="1301"/>
      <c r="Y551" s="1301"/>
      <c r="Z551" s="1301"/>
      <c r="AA551" s="1301"/>
      <c r="AB551" s="1301"/>
      <c r="AC551" s="1301"/>
      <c r="AD551" s="1301"/>
      <c r="AE551" s="1301"/>
      <c r="AF551" s="1301"/>
      <c r="AG551" s="1301"/>
      <c r="AH551" s="1301"/>
      <c r="AI551" s="1301"/>
      <c r="AJ551" s="1301"/>
      <c r="AK551" s="1301"/>
      <c r="AL551" s="1301"/>
      <c r="AM551" s="1301"/>
      <c r="AN551" s="1302"/>
    </row>
    <row r="552" spans="1:40" ht="30.75" customHeight="1" x14ac:dyDescent="0.35">
      <c r="A552" s="1291"/>
      <c r="B552" s="1292"/>
      <c r="C552" s="1292"/>
      <c r="D552" s="1292"/>
      <c r="E552" s="1292"/>
      <c r="F552" s="1292"/>
      <c r="G552" s="1292"/>
      <c r="H552" s="1292"/>
      <c r="I552" s="1292"/>
      <c r="J552" s="1292"/>
      <c r="K552" s="1292"/>
      <c r="L552" s="1293"/>
      <c r="M552" s="1300"/>
      <c r="N552" s="1301"/>
      <c r="O552" s="1301"/>
      <c r="P552" s="1301"/>
      <c r="Q552" s="1301"/>
      <c r="R552" s="1301"/>
      <c r="S552" s="1301"/>
      <c r="T552" s="1301"/>
      <c r="U552" s="1301"/>
      <c r="V552" s="1301"/>
      <c r="W552" s="1301"/>
      <c r="X552" s="1301"/>
      <c r="Y552" s="1301"/>
      <c r="Z552" s="1301"/>
      <c r="AA552" s="1301"/>
      <c r="AB552" s="1301"/>
      <c r="AC552" s="1301"/>
      <c r="AD552" s="1301"/>
      <c r="AE552" s="1301"/>
      <c r="AF552" s="1301"/>
      <c r="AG552" s="1301"/>
      <c r="AH552" s="1301"/>
      <c r="AI552" s="1301"/>
      <c r="AJ552" s="1301"/>
      <c r="AK552" s="1301"/>
      <c r="AL552" s="1301"/>
      <c r="AM552" s="1301"/>
      <c r="AN552" s="1302"/>
    </row>
    <row r="553" spans="1:40" ht="30.75" customHeight="1" x14ac:dyDescent="0.35">
      <c r="A553" s="1291"/>
      <c r="B553" s="1292"/>
      <c r="C553" s="1292"/>
      <c r="D553" s="1292"/>
      <c r="E553" s="1292"/>
      <c r="F553" s="1292"/>
      <c r="G553" s="1292"/>
      <c r="H553" s="1292"/>
      <c r="I553" s="1292"/>
      <c r="J553" s="1292"/>
      <c r="K553" s="1292"/>
      <c r="L553" s="1293"/>
      <c r="M553" s="1300"/>
      <c r="N553" s="1301"/>
      <c r="O553" s="1301"/>
      <c r="P553" s="1301"/>
      <c r="Q553" s="1301"/>
      <c r="R553" s="1301"/>
      <c r="S553" s="1301"/>
      <c r="T553" s="1301"/>
      <c r="U553" s="1301"/>
      <c r="V553" s="1301"/>
      <c r="W553" s="1301"/>
      <c r="X553" s="1301"/>
      <c r="Y553" s="1301"/>
      <c r="Z553" s="1301"/>
      <c r="AA553" s="1301"/>
      <c r="AB553" s="1301"/>
      <c r="AC553" s="1301"/>
      <c r="AD553" s="1301"/>
      <c r="AE553" s="1301"/>
      <c r="AF553" s="1301"/>
      <c r="AG553" s="1301"/>
      <c r="AH553" s="1301"/>
      <c r="AI553" s="1301"/>
      <c r="AJ553" s="1301"/>
      <c r="AK553" s="1301"/>
      <c r="AL553" s="1301"/>
      <c r="AM553" s="1301"/>
      <c r="AN553" s="1302"/>
    </row>
    <row r="554" spans="1:40" ht="30.75" customHeight="1" x14ac:dyDescent="0.35">
      <c r="A554" s="1291"/>
      <c r="B554" s="1292"/>
      <c r="C554" s="1292"/>
      <c r="D554" s="1292"/>
      <c r="E554" s="1292"/>
      <c r="F554" s="1292"/>
      <c r="G554" s="1292"/>
      <c r="H554" s="1292"/>
      <c r="I554" s="1292"/>
      <c r="J554" s="1292"/>
      <c r="K554" s="1292"/>
      <c r="L554" s="1293"/>
      <c r="M554" s="1300"/>
      <c r="N554" s="1301"/>
      <c r="O554" s="1301"/>
      <c r="P554" s="1301"/>
      <c r="Q554" s="1301"/>
      <c r="R554" s="1301"/>
      <c r="S554" s="1301"/>
      <c r="T554" s="1301"/>
      <c r="U554" s="1301"/>
      <c r="V554" s="1301"/>
      <c r="W554" s="1301"/>
      <c r="X554" s="1301"/>
      <c r="Y554" s="1301"/>
      <c r="Z554" s="1301"/>
      <c r="AA554" s="1301"/>
      <c r="AB554" s="1301"/>
      <c r="AC554" s="1301"/>
      <c r="AD554" s="1301"/>
      <c r="AE554" s="1301"/>
      <c r="AF554" s="1301"/>
      <c r="AG554" s="1301"/>
      <c r="AH554" s="1301"/>
      <c r="AI554" s="1301"/>
      <c r="AJ554" s="1301"/>
      <c r="AK554" s="1301"/>
      <c r="AL554" s="1301"/>
      <c r="AM554" s="1301"/>
      <c r="AN554" s="1302"/>
    </row>
    <row r="555" spans="1:40" ht="30.75" customHeight="1" x14ac:dyDescent="0.35">
      <c r="A555" s="1291"/>
      <c r="B555" s="1292"/>
      <c r="C555" s="1292"/>
      <c r="D555" s="1292"/>
      <c r="E555" s="1292"/>
      <c r="F555" s="1292"/>
      <c r="G555" s="1292"/>
      <c r="H555" s="1292"/>
      <c r="I555" s="1292"/>
      <c r="J555" s="1292"/>
      <c r="K555" s="1292"/>
      <c r="L555" s="1293"/>
      <c r="M555" s="1300"/>
      <c r="N555" s="1301"/>
      <c r="O555" s="1301"/>
      <c r="P555" s="1301"/>
      <c r="Q555" s="1301"/>
      <c r="R555" s="1301"/>
      <c r="S555" s="1301"/>
      <c r="T555" s="1301"/>
      <c r="U555" s="1301"/>
      <c r="V555" s="1301"/>
      <c r="W555" s="1301"/>
      <c r="X555" s="1301"/>
      <c r="Y555" s="1301"/>
      <c r="Z555" s="1301"/>
      <c r="AA555" s="1301"/>
      <c r="AB555" s="1301"/>
      <c r="AC555" s="1301"/>
      <c r="AD555" s="1301"/>
      <c r="AE555" s="1301"/>
      <c r="AF555" s="1301"/>
      <c r="AG555" s="1301"/>
      <c r="AH555" s="1301"/>
      <c r="AI555" s="1301"/>
      <c r="AJ555" s="1301"/>
      <c r="AK555" s="1301"/>
      <c r="AL555" s="1301"/>
      <c r="AM555" s="1301"/>
      <c r="AN555" s="1302"/>
    </row>
    <row r="556" spans="1:40" ht="30.75" customHeight="1" x14ac:dyDescent="0.35">
      <c r="A556" s="1291"/>
      <c r="B556" s="1292"/>
      <c r="C556" s="1292"/>
      <c r="D556" s="1292"/>
      <c r="E556" s="1292"/>
      <c r="F556" s="1292"/>
      <c r="G556" s="1292"/>
      <c r="H556" s="1292"/>
      <c r="I556" s="1292"/>
      <c r="J556" s="1292"/>
      <c r="K556" s="1292"/>
      <c r="L556" s="1293"/>
      <c r="M556" s="1300"/>
      <c r="N556" s="1301"/>
      <c r="O556" s="1301"/>
      <c r="P556" s="1301"/>
      <c r="Q556" s="1301"/>
      <c r="R556" s="1301"/>
      <c r="S556" s="1301"/>
      <c r="T556" s="1301"/>
      <c r="U556" s="1301"/>
      <c r="V556" s="1301"/>
      <c r="W556" s="1301"/>
      <c r="X556" s="1301"/>
      <c r="Y556" s="1301"/>
      <c r="Z556" s="1301"/>
      <c r="AA556" s="1301"/>
      <c r="AB556" s="1301"/>
      <c r="AC556" s="1301"/>
      <c r="AD556" s="1301"/>
      <c r="AE556" s="1301"/>
      <c r="AF556" s="1301"/>
      <c r="AG556" s="1301"/>
      <c r="AH556" s="1301"/>
      <c r="AI556" s="1301"/>
      <c r="AJ556" s="1301"/>
      <c r="AK556" s="1301"/>
      <c r="AL556" s="1301"/>
      <c r="AM556" s="1301"/>
      <c r="AN556" s="1302"/>
    </row>
    <row r="557" spans="1:40" ht="30.75" customHeight="1" x14ac:dyDescent="0.35">
      <c r="A557" s="1291"/>
      <c r="B557" s="1292"/>
      <c r="C557" s="1292"/>
      <c r="D557" s="1292"/>
      <c r="E557" s="1292"/>
      <c r="F557" s="1292"/>
      <c r="G557" s="1292"/>
      <c r="H557" s="1292"/>
      <c r="I557" s="1292"/>
      <c r="J557" s="1292"/>
      <c r="K557" s="1292"/>
      <c r="L557" s="1293"/>
      <c r="M557" s="1300"/>
      <c r="N557" s="1301"/>
      <c r="O557" s="1301"/>
      <c r="P557" s="1301"/>
      <c r="Q557" s="1301"/>
      <c r="R557" s="1301"/>
      <c r="S557" s="1301"/>
      <c r="T557" s="1301"/>
      <c r="U557" s="1301"/>
      <c r="V557" s="1301"/>
      <c r="W557" s="1301"/>
      <c r="X557" s="1301"/>
      <c r="Y557" s="1301"/>
      <c r="Z557" s="1301"/>
      <c r="AA557" s="1301"/>
      <c r="AB557" s="1301"/>
      <c r="AC557" s="1301"/>
      <c r="AD557" s="1301"/>
      <c r="AE557" s="1301"/>
      <c r="AF557" s="1301"/>
      <c r="AG557" s="1301"/>
      <c r="AH557" s="1301"/>
      <c r="AI557" s="1301"/>
      <c r="AJ557" s="1301"/>
      <c r="AK557" s="1301"/>
      <c r="AL557" s="1301"/>
      <c r="AM557" s="1301"/>
      <c r="AN557" s="1302"/>
    </row>
    <row r="558" spans="1:40" ht="30.75" customHeight="1" thickBot="1" x14ac:dyDescent="0.4">
      <c r="A558" s="1294"/>
      <c r="B558" s="1295"/>
      <c r="C558" s="1295"/>
      <c r="D558" s="1295"/>
      <c r="E558" s="1295"/>
      <c r="F558" s="1295"/>
      <c r="G558" s="1295"/>
      <c r="H558" s="1295"/>
      <c r="I558" s="1295"/>
      <c r="J558" s="1295"/>
      <c r="K558" s="1295"/>
      <c r="L558" s="1296"/>
      <c r="M558" s="1303"/>
      <c r="N558" s="1304"/>
      <c r="O558" s="1304"/>
      <c r="P558" s="1304"/>
      <c r="Q558" s="1304"/>
      <c r="R558" s="1304"/>
      <c r="S558" s="1304"/>
      <c r="T558" s="1304"/>
      <c r="U558" s="1304"/>
      <c r="V558" s="1304"/>
      <c r="W558" s="1304"/>
      <c r="X558" s="1304"/>
      <c r="Y558" s="1304"/>
      <c r="Z558" s="1304"/>
      <c r="AA558" s="1304"/>
      <c r="AB558" s="1304"/>
      <c r="AC558" s="1304"/>
      <c r="AD558" s="1304"/>
      <c r="AE558" s="1304"/>
      <c r="AF558" s="1304"/>
      <c r="AG558" s="1304"/>
      <c r="AH558" s="1304"/>
      <c r="AI558" s="1304"/>
      <c r="AJ558" s="1304"/>
      <c r="AK558" s="1304"/>
      <c r="AL558" s="1304"/>
      <c r="AM558" s="1304"/>
      <c r="AN558" s="1305"/>
    </row>
  </sheetData>
  <sheetProtection selectLockedCells="1"/>
  <mergeCells count="521">
    <mergeCell ref="A219:A222"/>
    <mergeCell ref="A223:A226"/>
    <mergeCell ref="A211:A214"/>
    <mergeCell ref="A215:A218"/>
    <mergeCell ref="A227:A230"/>
    <mergeCell ref="A493:A497"/>
    <mergeCell ref="AK494:AK495"/>
    <mergeCell ref="AF344:AG344"/>
    <mergeCell ref="A478:A482"/>
    <mergeCell ref="AK479:AK480"/>
    <mergeCell ref="A483:A487"/>
    <mergeCell ref="AK484:AK485"/>
    <mergeCell ref="A488:A492"/>
    <mergeCell ref="AK489:AK490"/>
    <mergeCell ref="A453:A457"/>
    <mergeCell ref="AK454:AK455"/>
    <mergeCell ref="AK439:AK440"/>
    <mergeCell ref="A438:A442"/>
    <mergeCell ref="A443:A447"/>
    <mergeCell ref="AK444:AK445"/>
    <mergeCell ref="AK459:AK460"/>
    <mergeCell ref="A463:A467"/>
    <mergeCell ref="AK464:AK465"/>
    <mergeCell ref="AK449:AK450"/>
    <mergeCell ref="A498:A502"/>
    <mergeCell ref="AK499:AK500"/>
    <mergeCell ref="AH20:AI20"/>
    <mergeCell ref="AH64:AI64"/>
    <mergeCell ref="AH109:AI109"/>
    <mergeCell ref="AH122:AI122"/>
    <mergeCell ref="AH178:AI178"/>
    <mergeCell ref="AH209:AI209"/>
    <mergeCell ref="AH236:AI236"/>
    <mergeCell ref="AH290:AI290"/>
    <mergeCell ref="AH326:AI326"/>
    <mergeCell ref="AH344:AI344"/>
    <mergeCell ref="AH436:AI436"/>
    <mergeCell ref="AB106:AC106"/>
    <mergeCell ref="AD106:AE106"/>
    <mergeCell ref="AF106:AG106"/>
    <mergeCell ref="AH106:AI106"/>
    <mergeCell ref="A458:A462"/>
    <mergeCell ref="A468:A472"/>
    <mergeCell ref="AK469:AK470"/>
    <mergeCell ref="A473:A477"/>
    <mergeCell ref="AK474:AK475"/>
    <mergeCell ref="A344:A345"/>
    <mergeCell ref="AJ344:AJ345"/>
    <mergeCell ref="A448:A452"/>
    <mergeCell ref="B344:B345"/>
    <mergeCell ref="B400:B401"/>
    <mergeCell ref="A366:A373"/>
    <mergeCell ref="A400:A401"/>
    <mergeCell ref="D326:E326"/>
    <mergeCell ref="F326:G326"/>
    <mergeCell ref="A408:A413"/>
    <mergeCell ref="L344:M344"/>
    <mergeCell ref="A340:A342"/>
    <mergeCell ref="A333:A334"/>
    <mergeCell ref="R344:S344"/>
    <mergeCell ref="A388:A390"/>
    <mergeCell ref="A374:A384"/>
    <mergeCell ref="F400:G400"/>
    <mergeCell ref="D400:E400"/>
    <mergeCell ref="A343:AN343"/>
    <mergeCell ref="AN344:AN345"/>
    <mergeCell ref="AM344:AM345"/>
    <mergeCell ref="AB344:AC344"/>
    <mergeCell ref="AD344:AE344"/>
    <mergeCell ref="X344:Y344"/>
    <mergeCell ref="N344:O344"/>
    <mergeCell ref="X400:Y400"/>
    <mergeCell ref="D344:E344"/>
    <mergeCell ref="F344:G344"/>
    <mergeCell ref="Z344:AA344"/>
    <mergeCell ref="AN400:AN401"/>
    <mergeCell ref="A354:A357"/>
    <mergeCell ref="A385:A387"/>
    <mergeCell ref="AN328:AN342"/>
    <mergeCell ref="A391:A398"/>
    <mergeCell ref="AM326:AM327"/>
    <mergeCell ref="C400:C401"/>
    <mergeCell ref="Z400:AA400"/>
    <mergeCell ref="L400:M400"/>
    <mergeCell ref="H400:I400"/>
    <mergeCell ref="J400:K400"/>
    <mergeCell ref="N400:O400"/>
    <mergeCell ref="P400:Q400"/>
    <mergeCell ref="C344:C345"/>
    <mergeCell ref="X326:Y326"/>
    <mergeCell ref="T344:U344"/>
    <mergeCell ref="V400:W400"/>
    <mergeCell ref="AJ400:AJ401"/>
    <mergeCell ref="R400:S400"/>
    <mergeCell ref="T400:U400"/>
    <mergeCell ref="AK400:AK401"/>
    <mergeCell ref="AL328:AL342"/>
    <mergeCell ref="A399:AN399"/>
    <mergeCell ref="A360:A365"/>
    <mergeCell ref="AN391:AN398"/>
    <mergeCell ref="A347:A352"/>
    <mergeCell ref="A358:A359"/>
    <mergeCell ref="AN436:AN437"/>
    <mergeCell ref="R436:S436"/>
    <mergeCell ref="T436:U436"/>
    <mergeCell ref="V436:W436"/>
    <mergeCell ref="X436:Y436"/>
    <mergeCell ref="A421:AN421"/>
    <mergeCell ref="A422:A432"/>
    <mergeCell ref="A402:A407"/>
    <mergeCell ref="Z436:AA436"/>
    <mergeCell ref="AB436:AC436"/>
    <mergeCell ref="AD436:AE436"/>
    <mergeCell ref="AF436:AG436"/>
    <mergeCell ref="AJ436:AJ437"/>
    <mergeCell ref="AK436:AK437"/>
    <mergeCell ref="AN402:AN420"/>
    <mergeCell ref="AL402:AL420"/>
    <mergeCell ref="AN316:AN324"/>
    <mergeCell ref="A285:A288"/>
    <mergeCell ref="F290:G290"/>
    <mergeCell ref="A298:A301"/>
    <mergeCell ref="A319:A321"/>
    <mergeCell ref="A433:AN433"/>
    <mergeCell ref="AL346:AL373"/>
    <mergeCell ref="AL374:AL390"/>
    <mergeCell ref="AN346:AN373"/>
    <mergeCell ref="AN374:AN390"/>
    <mergeCell ref="AL292:AL315"/>
    <mergeCell ref="H326:I326"/>
    <mergeCell ref="AL422:AL432"/>
    <mergeCell ref="AN422:AN432"/>
    <mergeCell ref="C290:C291"/>
    <mergeCell ref="H344:I344"/>
    <mergeCell ref="J344:K344"/>
    <mergeCell ref="A331:A332"/>
    <mergeCell ref="A306:A313"/>
    <mergeCell ref="A302:A305"/>
    <mergeCell ref="A314:A315"/>
    <mergeCell ref="R290:S290"/>
    <mergeCell ref="A414:A420"/>
    <mergeCell ref="V344:W344"/>
    <mergeCell ref="J236:K236"/>
    <mergeCell ref="R326:S326"/>
    <mergeCell ref="A292:A297"/>
    <mergeCell ref="A328:A330"/>
    <mergeCell ref="C236:C237"/>
    <mergeCell ref="B236:B237"/>
    <mergeCell ref="A274:A275"/>
    <mergeCell ref="A290:A291"/>
    <mergeCell ref="A326:A327"/>
    <mergeCell ref="J326:K326"/>
    <mergeCell ref="A247:A255"/>
    <mergeCell ref="A256:A264"/>
    <mergeCell ref="A265:A273"/>
    <mergeCell ref="A238:A246"/>
    <mergeCell ref="H236:I236"/>
    <mergeCell ref="A276:A277"/>
    <mergeCell ref="P290:Q290"/>
    <mergeCell ref="A325:AN325"/>
    <mergeCell ref="AN326:AN327"/>
    <mergeCell ref="C326:C327"/>
    <mergeCell ref="V326:W326"/>
    <mergeCell ref="X290:Y290"/>
    <mergeCell ref="AL316:AL324"/>
    <mergeCell ref="AN292:AN315"/>
    <mergeCell ref="D1:E1"/>
    <mergeCell ref="A4:C4"/>
    <mergeCell ref="AL436:AL437"/>
    <mergeCell ref="AM436:AM437"/>
    <mergeCell ref="AL400:AL401"/>
    <mergeCell ref="A529:L558"/>
    <mergeCell ref="M529:AN558"/>
    <mergeCell ref="A528:L528"/>
    <mergeCell ref="M528:AN528"/>
    <mergeCell ref="A507:L527"/>
    <mergeCell ref="A506:L506"/>
    <mergeCell ref="M506:AN506"/>
    <mergeCell ref="M507:AN527"/>
    <mergeCell ref="A435:AN435"/>
    <mergeCell ref="A436:A437"/>
    <mergeCell ref="B436:B437"/>
    <mergeCell ref="C436:C437"/>
    <mergeCell ref="D436:E436"/>
    <mergeCell ref="F436:G436"/>
    <mergeCell ref="H436:I436"/>
    <mergeCell ref="J436:K436"/>
    <mergeCell ref="L436:M436"/>
    <mergeCell ref="N436:O436"/>
    <mergeCell ref="P436:Q436"/>
    <mergeCell ref="H1:J1"/>
    <mergeCell ref="A7:AN7"/>
    <mergeCell ref="A5:A6"/>
    <mergeCell ref="B5:B6"/>
    <mergeCell ref="C5:C6"/>
    <mergeCell ref="D5:E5"/>
    <mergeCell ref="AL178:AL179"/>
    <mergeCell ref="D4:V4"/>
    <mergeCell ref="V122:W122"/>
    <mergeCell ref="K1:Q1"/>
    <mergeCell ref="R1:S1"/>
    <mergeCell ref="T1:V1"/>
    <mergeCell ref="W1:X1"/>
    <mergeCell ref="AA1:AJ1"/>
    <mergeCell ref="L122:M122"/>
    <mergeCell ref="N122:O122"/>
    <mergeCell ref="X5:Y5"/>
    <mergeCell ref="Z5:AA5"/>
    <mergeCell ref="AK45:AK46"/>
    <mergeCell ref="AJ5:AJ6"/>
    <mergeCell ref="AK5:AK6"/>
    <mergeCell ref="A33:A34"/>
    <mergeCell ref="R5:S5"/>
    <mergeCell ref="T5:U5"/>
    <mergeCell ref="Z290:AA290"/>
    <mergeCell ref="A316:A318"/>
    <mergeCell ref="A322:A324"/>
    <mergeCell ref="B326:B327"/>
    <mergeCell ref="H290:I290"/>
    <mergeCell ref="AL290:AL291"/>
    <mergeCell ref="AK290:AK291"/>
    <mergeCell ref="AJ326:AJ327"/>
    <mergeCell ref="T290:U290"/>
    <mergeCell ref="T326:U326"/>
    <mergeCell ref="Z326:AA326"/>
    <mergeCell ref="L326:M326"/>
    <mergeCell ref="N326:O326"/>
    <mergeCell ref="P326:Q326"/>
    <mergeCell ref="AK306:AK307"/>
    <mergeCell ref="AK314:AK315"/>
    <mergeCell ref="AK302:AK303"/>
    <mergeCell ref="AK298:AK299"/>
    <mergeCell ref="AJ290:AJ291"/>
    <mergeCell ref="D290:E290"/>
    <mergeCell ref="B290:B291"/>
    <mergeCell ref="L290:M290"/>
    <mergeCell ref="N290:O290"/>
    <mergeCell ref="A236:A237"/>
    <mergeCell ref="W4:AN4"/>
    <mergeCell ref="AK43:AK44"/>
    <mergeCell ref="A235:AN235"/>
    <mergeCell ref="A208:AN208"/>
    <mergeCell ref="A66:A69"/>
    <mergeCell ref="A70:A73"/>
    <mergeCell ref="A74:A77"/>
    <mergeCell ref="A78:A81"/>
    <mergeCell ref="A82:A85"/>
    <mergeCell ref="A86:A89"/>
    <mergeCell ref="A90:A93"/>
    <mergeCell ref="A122:A123"/>
    <mergeCell ref="A11:A13"/>
    <mergeCell ref="A15:A17"/>
    <mergeCell ref="C178:C179"/>
    <mergeCell ref="A54:A55"/>
    <mergeCell ref="A37:A38"/>
    <mergeCell ref="A39:A40"/>
    <mergeCell ref="A41:A42"/>
    <mergeCell ref="A22:A32"/>
    <mergeCell ref="A51:A53"/>
    <mergeCell ref="C209:C210"/>
    <mergeCell ref="F236:G236"/>
    <mergeCell ref="AK236:AK237"/>
    <mergeCell ref="AL256:AL264"/>
    <mergeCell ref="AF209:AG209"/>
    <mergeCell ref="AB209:AC209"/>
    <mergeCell ref="AD209:AE209"/>
    <mergeCell ref="AJ209:AJ210"/>
    <mergeCell ref="X236:Y236"/>
    <mergeCell ref="AK209:AK210"/>
    <mergeCell ref="X209:Y209"/>
    <mergeCell ref="AL247:AL255"/>
    <mergeCell ref="AL211:AL234"/>
    <mergeCell ref="AJ236:AJ237"/>
    <mergeCell ref="AD236:AE236"/>
    <mergeCell ref="AF236:AG236"/>
    <mergeCell ref="R209:S209"/>
    <mergeCell ref="T209:U209"/>
    <mergeCell ref="L209:M209"/>
    <mergeCell ref="V236:W236"/>
    <mergeCell ref="P209:Q209"/>
    <mergeCell ref="Z209:AA209"/>
    <mergeCell ref="R236:S236"/>
    <mergeCell ref="P236:Q236"/>
    <mergeCell ref="N236:O236"/>
    <mergeCell ref="N209:O209"/>
    <mergeCell ref="V5:W5"/>
    <mergeCell ref="T20:U20"/>
    <mergeCell ref="J20:K20"/>
    <mergeCell ref="L20:M20"/>
    <mergeCell ref="AJ20:AJ21"/>
    <mergeCell ref="V20:W20"/>
    <mergeCell ref="J5:K5"/>
    <mergeCell ref="L5:M5"/>
    <mergeCell ref="N5:O5"/>
    <mergeCell ref="P5:Q5"/>
    <mergeCell ref="A106:A107"/>
    <mergeCell ref="A64:A65"/>
    <mergeCell ref="A124:A127"/>
    <mergeCell ref="A149:A154"/>
    <mergeCell ref="A158:A159"/>
    <mergeCell ref="R20:S20"/>
    <mergeCell ref="AK37:AK38"/>
    <mergeCell ref="AM5:AM6"/>
    <mergeCell ref="A47:A48"/>
    <mergeCell ref="A8:A10"/>
    <mergeCell ref="A49:A50"/>
    <mergeCell ref="F5:G5"/>
    <mergeCell ref="H5:I5"/>
    <mergeCell ref="A43:A44"/>
    <mergeCell ref="T64:U64"/>
    <mergeCell ref="V64:W64"/>
    <mergeCell ref="D20:E20"/>
    <mergeCell ref="B109:B110"/>
    <mergeCell ref="AM20:AM21"/>
    <mergeCell ref="A63:AN63"/>
    <mergeCell ref="F64:G64"/>
    <mergeCell ref="A94:A97"/>
    <mergeCell ref="AK22:AK23"/>
    <mergeCell ref="AK27:AK28"/>
    <mergeCell ref="AK155:AK156"/>
    <mergeCell ref="Z109:AA109"/>
    <mergeCell ref="C20:C21"/>
    <mergeCell ref="B20:B21"/>
    <mergeCell ref="A20:A21"/>
    <mergeCell ref="A45:A46"/>
    <mergeCell ref="A35:A36"/>
    <mergeCell ref="A102:A105"/>
    <mergeCell ref="A56:A57"/>
    <mergeCell ref="A59:A60"/>
    <mergeCell ref="AK59:AK60"/>
    <mergeCell ref="A61:A62"/>
    <mergeCell ref="AK61:AK62"/>
    <mergeCell ref="A58:AN58"/>
    <mergeCell ref="L64:M64"/>
    <mergeCell ref="N64:O64"/>
    <mergeCell ref="AK39:AK40"/>
    <mergeCell ref="AN22:AN55"/>
    <mergeCell ref="AN20:AN21"/>
    <mergeCell ref="AL20:AL21"/>
    <mergeCell ref="AK33:AK34"/>
    <mergeCell ref="AK35:AK36"/>
    <mergeCell ref="F20:G20"/>
    <mergeCell ref="H20:I20"/>
    <mergeCell ref="C109:C110"/>
    <mergeCell ref="A169:A170"/>
    <mergeCell ref="C122:C123"/>
    <mergeCell ref="A129:A137"/>
    <mergeCell ref="A111:A116"/>
    <mergeCell ref="A117:A118"/>
    <mergeCell ref="A119:A120"/>
    <mergeCell ref="R122:S122"/>
    <mergeCell ref="T122:U122"/>
    <mergeCell ref="A160:A166"/>
    <mergeCell ref="P122:Q122"/>
    <mergeCell ref="R178:S178"/>
    <mergeCell ref="T178:U178"/>
    <mergeCell ref="AJ178:AJ179"/>
    <mergeCell ref="X178:Y178"/>
    <mergeCell ref="A177:AN177"/>
    <mergeCell ref="B122:B123"/>
    <mergeCell ref="A155:A157"/>
    <mergeCell ref="A167:A168"/>
    <mergeCell ref="AM178:AM179"/>
    <mergeCell ref="N178:O178"/>
    <mergeCell ref="Z178:AA178"/>
    <mergeCell ref="AB122:AC122"/>
    <mergeCell ref="J122:K122"/>
    <mergeCell ref="J178:K178"/>
    <mergeCell ref="A178:A179"/>
    <mergeCell ref="B178:B179"/>
    <mergeCell ref="AN122:AN123"/>
    <mergeCell ref="A138:A139"/>
    <mergeCell ref="A140:A141"/>
    <mergeCell ref="A142:A144"/>
    <mergeCell ref="A171:A172"/>
    <mergeCell ref="A173:A175"/>
    <mergeCell ref="AL124:AL176"/>
    <mergeCell ref="AJ122:AJ123"/>
    <mergeCell ref="AP2:AQ2"/>
    <mergeCell ref="R109:S109"/>
    <mergeCell ref="T109:U109"/>
    <mergeCell ref="AO1:AO21"/>
    <mergeCell ref="Z122:AA122"/>
    <mergeCell ref="X122:Y122"/>
    <mergeCell ref="AK41:AK42"/>
    <mergeCell ref="AK49:AK50"/>
    <mergeCell ref="AJ109:AJ110"/>
    <mergeCell ref="AK47:AK48"/>
    <mergeCell ref="X109:Y109"/>
    <mergeCell ref="AK109:AK110"/>
    <mergeCell ref="AK122:AK123"/>
    <mergeCell ref="A108:AN108"/>
    <mergeCell ref="AB20:AC20"/>
    <mergeCell ref="AD20:AE20"/>
    <mergeCell ref="AF20:AG20"/>
    <mergeCell ref="AK1:AN1"/>
    <mergeCell ref="V109:W109"/>
    <mergeCell ref="X20:Y20"/>
    <mergeCell ref="Z20:AA20"/>
    <mergeCell ref="AL8:AL18"/>
    <mergeCell ref="AL109:AL110"/>
    <mergeCell ref="AF109:AG109"/>
    <mergeCell ref="A188:A189"/>
    <mergeCell ref="F1:G1"/>
    <mergeCell ref="B1:C1"/>
    <mergeCell ref="A19:AN19"/>
    <mergeCell ref="D236:E236"/>
    <mergeCell ref="AM236:AM237"/>
    <mergeCell ref="V178:W178"/>
    <mergeCell ref="AN124:AN168"/>
    <mergeCell ref="AN178:AN179"/>
    <mergeCell ref="A2:AN2"/>
    <mergeCell ref="A3:AN3"/>
    <mergeCell ref="P64:Q64"/>
    <mergeCell ref="R64:S64"/>
    <mergeCell ref="H178:I178"/>
    <mergeCell ref="P178:Q178"/>
    <mergeCell ref="L178:M178"/>
    <mergeCell ref="D178:E178"/>
    <mergeCell ref="AN8:AN18"/>
    <mergeCell ref="AK20:AK21"/>
    <mergeCell ref="A190:A191"/>
    <mergeCell ref="F178:G178"/>
    <mergeCell ref="AK178:AK179"/>
    <mergeCell ref="AL236:AL237"/>
    <mergeCell ref="AF178:AG178"/>
    <mergeCell ref="AL181:AL193"/>
    <mergeCell ref="AM209:AM210"/>
    <mergeCell ref="AM400:AM401"/>
    <mergeCell ref="AL391:AL398"/>
    <mergeCell ref="AB290:AC290"/>
    <mergeCell ref="AD290:AE290"/>
    <mergeCell ref="AF290:AG290"/>
    <mergeCell ref="AB326:AC326"/>
    <mergeCell ref="AD326:AE326"/>
    <mergeCell ref="AF326:AG326"/>
    <mergeCell ref="AK344:AK345"/>
    <mergeCell ref="AK326:AK327"/>
    <mergeCell ref="AL326:AL327"/>
    <mergeCell ref="AL344:AL345"/>
    <mergeCell ref="A289:AN289"/>
    <mergeCell ref="AK285:AK286"/>
    <mergeCell ref="AK283:AK284"/>
    <mergeCell ref="J290:K290"/>
    <mergeCell ref="V290:W290"/>
    <mergeCell ref="A209:A210"/>
    <mergeCell ref="B209:B210"/>
    <mergeCell ref="A278:A284"/>
    <mergeCell ref="D209:K210"/>
    <mergeCell ref="T236:U236"/>
    <mergeCell ref="AN111:AN116"/>
    <mergeCell ref="AN64:AN65"/>
    <mergeCell ref="D122:I123"/>
    <mergeCell ref="P20:Q20"/>
    <mergeCell ref="AM122:AM123"/>
    <mergeCell ref="AM64:AM65"/>
    <mergeCell ref="D109:I110"/>
    <mergeCell ref="AF122:AG122"/>
    <mergeCell ref="N20:O20"/>
    <mergeCell ref="AD122:AE122"/>
    <mergeCell ref="AL22:AL57"/>
    <mergeCell ref="AL111:AL120"/>
    <mergeCell ref="X64:Y64"/>
    <mergeCell ref="AL66:AL107"/>
    <mergeCell ref="AM109:AM110"/>
    <mergeCell ref="AL64:AL65"/>
    <mergeCell ref="J64:K64"/>
    <mergeCell ref="J109:K109"/>
    <mergeCell ref="L109:M109"/>
    <mergeCell ref="N109:O109"/>
    <mergeCell ref="P109:Q109"/>
    <mergeCell ref="AB109:AC109"/>
    <mergeCell ref="AD109:AE109"/>
    <mergeCell ref="AL438:AL502"/>
    <mergeCell ref="Z64:AA64"/>
    <mergeCell ref="AB64:AC64"/>
    <mergeCell ref="AD64:AE64"/>
    <mergeCell ref="AF64:AG64"/>
    <mergeCell ref="AJ64:AJ65"/>
    <mergeCell ref="AK64:AK65"/>
    <mergeCell ref="A98:A101"/>
    <mergeCell ref="H64:I64"/>
    <mergeCell ref="AL122:AL123"/>
    <mergeCell ref="A121:AN121"/>
    <mergeCell ref="AN109:AN110"/>
    <mergeCell ref="B64:B65"/>
    <mergeCell ref="C64:C65"/>
    <mergeCell ref="D64:E64"/>
    <mergeCell ref="A109:A110"/>
    <mergeCell ref="P344:Q344"/>
    <mergeCell ref="AB178:AC178"/>
    <mergeCell ref="AD178:AE178"/>
    <mergeCell ref="A196:A197"/>
    <mergeCell ref="AN209:AN210"/>
    <mergeCell ref="V209:W209"/>
    <mergeCell ref="AN182:AN193"/>
    <mergeCell ref="AN236:AN237"/>
    <mergeCell ref="A198:A199"/>
    <mergeCell ref="A200:A201"/>
    <mergeCell ref="A202:A203"/>
    <mergeCell ref="A204:A205"/>
    <mergeCell ref="A206:A207"/>
    <mergeCell ref="A194:AN194"/>
    <mergeCell ref="A180:AN180"/>
    <mergeCell ref="AL195:AL207"/>
    <mergeCell ref="A335:A338"/>
    <mergeCell ref="AN290:AN291"/>
    <mergeCell ref="AN238:AN288"/>
    <mergeCell ref="AM290:AM291"/>
    <mergeCell ref="AN211:AN234"/>
    <mergeCell ref="A192:A193"/>
    <mergeCell ref="A186:A187"/>
    <mergeCell ref="A182:A183"/>
    <mergeCell ref="A184:A185"/>
    <mergeCell ref="AL209:AL210"/>
    <mergeCell ref="Z236:AA236"/>
    <mergeCell ref="L236:M236"/>
    <mergeCell ref="AL238:AL246"/>
    <mergeCell ref="AB236:AC236"/>
    <mergeCell ref="AL265:AL273"/>
    <mergeCell ref="AL274:AL288"/>
  </mergeCells>
  <phoneticPr fontId="3" type="noConversion"/>
  <conditionalFormatting sqref="AK22">
    <cfRule type="notContainsBlanks" dxfId="1858" priority="3173">
      <formula>LEN(TRIM(AK22))&gt;0</formula>
    </cfRule>
  </conditionalFormatting>
  <conditionalFormatting sqref="AK27:AK28">
    <cfRule type="notContainsBlanks" dxfId="1857" priority="3174">
      <formula>LEN(TRIM(AK27))&gt;0</formula>
    </cfRule>
  </conditionalFormatting>
  <conditionalFormatting sqref="AK33:AK34">
    <cfRule type="notContainsBlanks" dxfId="1856" priority="3177">
      <formula>LEN(TRIM(AK33))&gt;0</formula>
    </cfRule>
  </conditionalFormatting>
  <conditionalFormatting sqref="AK35:AK36">
    <cfRule type="notContainsBlanks" dxfId="1855" priority="3175">
      <formula>LEN(TRIM(AK35))&gt;0</formula>
    </cfRule>
  </conditionalFormatting>
  <conditionalFormatting sqref="AK37:AK38">
    <cfRule type="notContainsBlanks" dxfId="1854" priority="3168">
      <formula>LEN(TRIM(AK37))&gt;0</formula>
    </cfRule>
  </conditionalFormatting>
  <conditionalFormatting sqref="AK39:AK40">
    <cfRule type="notContainsBlanks" dxfId="1853" priority="3167">
      <formula>LEN(TRIM(AK39))&gt;0</formula>
    </cfRule>
  </conditionalFormatting>
  <conditionalFormatting sqref="AK41:AK42">
    <cfRule type="notContainsBlanks" dxfId="1852" priority="3166">
      <formula>LEN(TRIM(AK41))&gt;0</formula>
    </cfRule>
  </conditionalFormatting>
  <conditionalFormatting sqref="AK43:AK44">
    <cfRule type="notContainsBlanks" dxfId="1851" priority="3165">
      <formula>LEN(TRIM(AK43))&gt;0</formula>
    </cfRule>
  </conditionalFormatting>
  <conditionalFormatting sqref="AK45:AK46">
    <cfRule type="notContainsBlanks" dxfId="1850" priority="3164">
      <formula>LEN(TRIM(AK45))&gt;0</formula>
    </cfRule>
  </conditionalFormatting>
  <conditionalFormatting sqref="AK47:AK48">
    <cfRule type="notContainsBlanks" dxfId="1849" priority="3163">
      <formula>LEN(TRIM(AK47))&gt;0</formula>
    </cfRule>
  </conditionalFormatting>
  <conditionalFormatting sqref="AK49:AK53">
    <cfRule type="notContainsBlanks" dxfId="1848" priority="3162">
      <formula>LEN(TRIM(AK49))&gt;0</formula>
    </cfRule>
  </conditionalFormatting>
  <conditionalFormatting sqref="AK54:AK55">
    <cfRule type="notContainsBlanks" dxfId="1847" priority="3161">
      <formula>LEN(TRIM(AK54))&gt;0</formula>
    </cfRule>
  </conditionalFormatting>
  <conditionalFormatting sqref="AK124 AK126:AK127">
    <cfRule type="notContainsBlanks" dxfId="1846" priority="3178">
      <formula>LEN(TRIM(AK124))&gt;0</formula>
    </cfRule>
  </conditionalFormatting>
  <conditionalFormatting sqref="AK128:AK134">
    <cfRule type="notContainsBlanks" dxfId="1845" priority="3179">
      <formula>LEN(TRIM(AK128))&gt;0</formula>
    </cfRule>
  </conditionalFormatting>
  <conditionalFormatting sqref="AK155:AK156">
    <cfRule type="notContainsBlanks" dxfId="1844" priority="3158">
      <formula>LEN(TRIM(AK155))&gt;0</formula>
    </cfRule>
  </conditionalFormatting>
  <conditionalFormatting sqref="AK182">
    <cfRule type="notContainsBlanks" dxfId="1843" priority="3157">
      <formula>LEN(TRIM(AK182))&gt;0</formula>
    </cfRule>
  </conditionalFormatting>
  <conditionalFormatting sqref="AK24">
    <cfRule type="notContainsBlanks" dxfId="1842" priority="3156">
      <formula>LEN(TRIM(AK24))&gt;0</formula>
    </cfRule>
  </conditionalFormatting>
  <conditionalFormatting sqref="AK183">
    <cfRule type="notContainsBlanks" dxfId="1841" priority="3155">
      <formula>LEN(TRIM(AK183))&gt;0</formula>
    </cfRule>
  </conditionalFormatting>
  <conditionalFormatting sqref="AK184">
    <cfRule type="notContainsBlanks" dxfId="1840" priority="3154">
      <formula>LEN(TRIM(AK184))&gt;0</formula>
    </cfRule>
  </conditionalFormatting>
  <conditionalFormatting sqref="AK185">
    <cfRule type="notContainsBlanks" dxfId="1839" priority="3153">
      <formula>LEN(TRIM(AK185))&gt;0</formula>
    </cfRule>
  </conditionalFormatting>
  <conditionalFormatting sqref="AK212">
    <cfRule type="notContainsBlanks" dxfId="1838" priority="3152">
      <formula>LEN(TRIM(AK212))&gt;0</formula>
    </cfRule>
  </conditionalFormatting>
  <conditionalFormatting sqref="AK275">
    <cfRule type="notContainsBlanks" dxfId="1837" priority="3149">
      <formula>LEN(TRIM(AK275))&gt;0</formula>
    </cfRule>
  </conditionalFormatting>
  <conditionalFormatting sqref="AK278">
    <cfRule type="notContainsBlanks" dxfId="1836" priority="3148">
      <formula>LEN(TRIM(AK278))&gt;0</formula>
    </cfRule>
  </conditionalFormatting>
  <conditionalFormatting sqref="AK279:AK280">
    <cfRule type="notContainsBlanks" dxfId="1835" priority="3147">
      <formula>LEN(TRIM(AK279))&gt;0</formula>
    </cfRule>
  </conditionalFormatting>
  <conditionalFormatting sqref="AK281:AK282 AK294 AK296 AK394:AK396 AK360:AK373 AK379">
    <cfRule type="notContainsBlanks" dxfId="1834" priority="3146">
      <formula>LEN(TRIM(AK281))&gt;0</formula>
    </cfRule>
  </conditionalFormatting>
  <conditionalFormatting sqref="AK283:AK284">
    <cfRule type="notContainsBlanks" dxfId="1833" priority="3145">
      <formula>LEN(TRIM(AK283))&gt;0</formula>
    </cfRule>
  </conditionalFormatting>
  <conditionalFormatting sqref="AK285:AK286">
    <cfRule type="notContainsBlanks" dxfId="1832" priority="3144">
      <formula>LEN(TRIM(AK285))&gt;0</formula>
    </cfRule>
  </conditionalFormatting>
  <conditionalFormatting sqref="AK287">
    <cfRule type="notContainsBlanks" dxfId="1831" priority="3143">
      <formula>LEN(TRIM(AK287))&gt;0</formula>
    </cfRule>
  </conditionalFormatting>
  <conditionalFormatting sqref="AK288">
    <cfRule type="notContainsBlanks" dxfId="1830" priority="3142">
      <formula>LEN(TRIM(AK288))&gt;0</formula>
    </cfRule>
  </conditionalFormatting>
  <conditionalFormatting sqref="AK292">
    <cfRule type="notContainsBlanks" dxfId="1829" priority="3141">
      <formula>LEN(TRIM(AK292))&gt;0</formula>
    </cfRule>
  </conditionalFormatting>
  <conditionalFormatting sqref="AK293">
    <cfRule type="notContainsBlanks" dxfId="1828" priority="3140">
      <formula>LEN(TRIM(AK293))&gt;0</formula>
    </cfRule>
  </conditionalFormatting>
  <conditionalFormatting sqref="AK295:AK297">
    <cfRule type="notContainsBlanks" dxfId="1827" priority="3138">
      <formula>LEN(TRIM(AK295))&gt;0</formula>
    </cfRule>
  </conditionalFormatting>
  <conditionalFormatting sqref="AK298:AK299 AK301">
    <cfRule type="notContainsBlanks" dxfId="1826" priority="3137">
      <formula>LEN(TRIM(AK298))&gt;0</formula>
    </cfRule>
  </conditionalFormatting>
  <conditionalFormatting sqref="AK302:AK303 AK305">
    <cfRule type="notContainsBlanks" dxfId="1825" priority="3136">
      <formula>LEN(TRIM(AK302))&gt;0</formula>
    </cfRule>
  </conditionalFormatting>
  <conditionalFormatting sqref="AK306:AK307 AK309 AK311">
    <cfRule type="notContainsBlanks" dxfId="1824" priority="3135">
      <formula>LEN(TRIM(AK306))&gt;0</formula>
    </cfRule>
  </conditionalFormatting>
  <conditionalFormatting sqref="AK314:AK323">
    <cfRule type="notContainsBlanks" dxfId="1823" priority="3134">
      <formula>LEN(TRIM(AK314))&gt;0</formula>
    </cfRule>
  </conditionalFormatting>
  <conditionalFormatting sqref="AK329:AK332">
    <cfRule type="notContainsBlanks" dxfId="1822" priority="3133">
      <formula>LEN(TRIM(AK329))&gt;0</formula>
    </cfRule>
  </conditionalFormatting>
  <conditionalFormatting sqref="AK333:AK334">
    <cfRule type="notContainsBlanks" dxfId="1821" priority="3132">
      <formula>LEN(TRIM(AK333))&gt;0</formula>
    </cfRule>
  </conditionalFormatting>
  <conditionalFormatting sqref="AK335:AK337">
    <cfRule type="notContainsBlanks" dxfId="1820" priority="3131">
      <formula>LEN(TRIM(AK335))&gt;0</formula>
    </cfRule>
  </conditionalFormatting>
  <conditionalFormatting sqref="AK340">
    <cfRule type="notContainsBlanks" dxfId="1819" priority="3130">
      <formula>LEN(TRIM(AK340))&gt;0</formula>
    </cfRule>
  </conditionalFormatting>
  <conditionalFormatting sqref="AK341">
    <cfRule type="notContainsBlanks" dxfId="1818" priority="3129">
      <formula>LEN(TRIM(AK341))&gt;0</formula>
    </cfRule>
  </conditionalFormatting>
  <conditionalFormatting sqref="AK342">
    <cfRule type="notContainsBlanks" dxfId="1817" priority="3128">
      <formula>LEN(TRIM(AK342))&gt;0</formula>
    </cfRule>
  </conditionalFormatting>
  <conditionalFormatting sqref="AK346:AK352">
    <cfRule type="notContainsBlanks" dxfId="1816" priority="3127">
      <formula>LEN(TRIM(AK346))&gt;0</formula>
    </cfRule>
  </conditionalFormatting>
  <conditionalFormatting sqref="AK353 AK355:AK358">
    <cfRule type="notContainsBlanks" priority="3126">
      <formula>LEN(TRIM(AK353))&gt;0</formula>
    </cfRule>
  </conditionalFormatting>
  <conditionalFormatting sqref="AK408:AK410">
    <cfRule type="notContainsBlanks" dxfId="1815" priority="3124">
      <formula>LEN(TRIM(AK408))&gt;0</formula>
    </cfRule>
  </conditionalFormatting>
  <conditionalFormatting sqref="AM35">
    <cfRule type="notContainsBlanks" dxfId="1814" priority="3117">
      <formula>LEN(TRIM(AM35))&gt;0</formula>
    </cfRule>
  </conditionalFormatting>
  <conditionalFormatting sqref="AM292:AN292">
    <cfRule type="notContainsBlanks" dxfId="1813" priority="3116">
      <formula>LEN(TRIM(AM292))&gt;0</formula>
    </cfRule>
  </conditionalFormatting>
  <conditionalFormatting sqref="AM293">
    <cfRule type="notContainsBlanks" dxfId="1812" priority="3115">
      <formula>LEN(TRIM(AM293))&gt;0</formula>
    </cfRule>
  </conditionalFormatting>
  <conditionalFormatting sqref="AM111:AN111 AM182:AN182 AM211:AN211 AM238:AN238 AM328:AN328 AM346:AN346 AM124:AN126 AM22:AN22 AM112:AM118 AM127:AM139 AM212:AM234 AM275:AM288 AM23:AM31 AN402 AM408:AM420 AM294:AM311 AM322:AM323 AM394:AM396 AM329:AM337 AM347:AM373 AM379 AM438:AM440 AM33:AM55 AM314:AM318 AM339:AM342 AM183:AM193 AM146:AM170">
    <cfRule type="notContainsBlanks" dxfId="1811" priority="3114">
      <formula>LEN(TRIM(AM22))&gt;0</formula>
    </cfRule>
  </conditionalFormatting>
  <conditionalFormatting sqref="AM37">
    <cfRule type="notContainsBlanks" dxfId="1810" priority="3113">
      <formula>LEN(TRIM(AM37))&gt;0</formula>
    </cfRule>
  </conditionalFormatting>
  <conditionalFormatting sqref="AM49">
    <cfRule type="notContainsBlanks" dxfId="1809" priority="3107">
      <formula>LEN(TRIM(AM49))&gt;0</formula>
    </cfRule>
  </conditionalFormatting>
  <conditionalFormatting sqref="AM39">
    <cfRule type="notContainsBlanks" dxfId="1808" priority="3112">
      <formula>LEN(TRIM(AM39))&gt;0</formula>
    </cfRule>
  </conditionalFormatting>
  <conditionalFormatting sqref="AM41">
    <cfRule type="notContainsBlanks" dxfId="1807" priority="3111">
      <formula>LEN(TRIM(AM41))&gt;0</formula>
    </cfRule>
  </conditionalFormatting>
  <conditionalFormatting sqref="AM43">
    <cfRule type="notContainsBlanks" dxfId="1806" priority="3110">
      <formula>LEN(TRIM(AM43))&gt;0</formula>
    </cfRule>
  </conditionalFormatting>
  <conditionalFormatting sqref="AM45">
    <cfRule type="notContainsBlanks" dxfId="1805" priority="3109">
      <formula>LEN(TRIM(AM45))&gt;0</formula>
    </cfRule>
  </conditionalFormatting>
  <conditionalFormatting sqref="AM47">
    <cfRule type="notContainsBlanks" dxfId="1804" priority="3108">
      <formula>LEN(TRIM(AM47))&gt;0</formula>
    </cfRule>
  </conditionalFormatting>
  <conditionalFormatting sqref="AL22 AL111 AL124 AL211:AL234 AL238 AL328:AL337 AL346 AL402 AL292 AL438 AL339:AL342 AL181">
    <cfRule type="notContainsBlanks" dxfId="1803" priority="3343">
      <formula>LEN(TRIM(AL22))&gt;0</formula>
    </cfRule>
  </conditionalFormatting>
  <conditionalFormatting sqref="D359:Y359 AB359:AG359 AJ359">
    <cfRule type="cellIs" dxfId="1802" priority="3104" operator="equal">
      <formula>0</formula>
    </cfRule>
  </conditionalFormatting>
  <conditionalFormatting sqref="D372:Y372 AB372:AG372">
    <cfRule type="cellIs" dxfId="1801" priority="3103" operator="equal">
      <formula>0</formula>
    </cfRule>
  </conditionalFormatting>
  <conditionalFormatting sqref="D372:Y372 AB372:AG372">
    <cfRule type="cellIs" dxfId="1800" priority="3102" operator="equal">
      <formula>0</formula>
    </cfRule>
  </conditionalFormatting>
  <conditionalFormatting sqref="D54:AI55">
    <cfRule type="cellIs" dxfId="1799" priority="3101" operator="equal">
      <formula>0</formula>
    </cfRule>
  </conditionalFormatting>
  <conditionalFormatting sqref="AJ414:AJ420 AJ402:AJ412 AJ45 AJ47 AJ35 AJ29:AJ31 AJ49:AJ50 AJ37:AJ43 AJ275 AJ277:AJ288 AJ292:AJ311 AJ328:AJ337 AJ346:AJ353 AJ124:AJ127 AJ22:AJ27 AJ54 AJ33 AJ314:AJ323 AJ129:AJ131 AJ339:AJ342 AJ182:AJ193 AJ211:AJ234 AJ358 AJ360:AJ387 AJ133:AJ176 AJ111:AJ118">
    <cfRule type="cellIs" dxfId="1798" priority="3098" operator="equal">
      <formula>0</formula>
    </cfRule>
  </conditionalFormatting>
  <conditionalFormatting sqref="D372:Y372 D359:Y359 AB359:AG359 AB372:AG372 AJ359 D54:AI55">
    <cfRule type="cellIs" dxfId="1797" priority="3097" operator="equal">
      <formula>0</formula>
    </cfRule>
  </conditionalFormatting>
  <conditionalFormatting sqref="A1">
    <cfRule type="cellIs" dxfId="1796" priority="3096" operator="equal">
      <formula>0</formula>
    </cfRule>
  </conditionalFormatting>
  <conditionalFormatting sqref="D413:AG413 AJ413">
    <cfRule type="cellIs" dxfId="1795" priority="3093" operator="equal">
      <formula>0</formula>
    </cfRule>
  </conditionalFormatting>
  <conditionalFormatting sqref="AJ44">
    <cfRule type="cellIs" dxfId="1794" priority="3092" operator="equal">
      <formula>0</formula>
    </cfRule>
  </conditionalFormatting>
  <conditionalFormatting sqref="AJ46">
    <cfRule type="cellIs" dxfId="1793" priority="3091" operator="equal">
      <formula>0</formula>
    </cfRule>
  </conditionalFormatting>
  <conditionalFormatting sqref="AJ36">
    <cfRule type="cellIs" dxfId="1792" priority="3090" operator="equal">
      <formula>0</formula>
    </cfRule>
  </conditionalFormatting>
  <conditionalFormatting sqref="AJ34">
    <cfRule type="cellIs" dxfId="1791" priority="3089" operator="equal">
      <formula>0</formula>
    </cfRule>
  </conditionalFormatting>
  <conditionalFormatting sqref="AJ28">
    <cfRule type="cellIs" dxfId="1790" priority="3088" operator="equal">
      <formula>0</formula>
    </cfRule>
  </conditionalFormatting>
  <conditionalFormatting sqref="AJ48">
    <cfRule type="cellIs" dxfId="1789" priority="3087" operator="equal">
      <formula>0</formula>
    </cfRule>
  </conditionalFormatting>
  <conditionalFormatting sqref="AJ55">
    <cfRule type="cellIs" dxfId="1788" priority="3069" operator="equal">
      <formula>0</formula>
    </cfRule>
  </conditionalFormatting>
  <conditionalFormatting sqref="AJ55">
    <cfRule type="cellIs" dxfId="1787" priority="3068" operator="equal">
      <formula>0</formula>
    </cfRule>
  </conditionalFormatting>
  <conditionalFormatting sqref="D182:AA182">
    <cfRule type="expression" dxfId="1786" priority="3057">
      <formula>D184&gt;D182</formula>
    </cfRule>
  </conditionalFormatting>
  <conditionalFormatting sqref="D183:AA183">
    <cfRule type="expression" dxfId="1785" priority="3056">
      <formula>D185&gt;D183</formula>
    </cfRule>
  </conditionalFormatting>
  <conditionalFormatting sqref="D278:AA278">
    <cfRule type="expression" dxfId="1784" priority="3053">
      <formula>D279&gt;D278</formula>
    </cfRule>
  </conditionalFormatting>
  <conditionalFormatting sqref="D279:AA279">
    <cfRule type="expression" dxfId="1783" priority="3052">
      <formula>D280&gt;D279</formula>
    </cfRule>
  </conditionalFormatting>
  <conditionalFormatting sqref="K281 M281 O281 Q281 S281 U281 W281 Y281 AA281">
    <cfRule type="expression" dxfId="1782" priority="3051">
      <formula>K282&gt;K281</formula>
    </cfRule>
  </conditionalFormatting>
  <conditionalFormatting sqref="D283:AA283">
    <cfRule type="expression" dxfId="1781" priority="3050">
      <formula>D284&gt;D283</formula>
    </cfRule>
  </conditionalFormatting>
  <conditionalFormatting sqref="D285:AA285">
    <cfRule type="expression" dxfId="1780" priority="3047">
      <formula>D288&gt;D285</formula>
    </cfRule>
    <cfRule type="expression" dxfId="1779" priority="3049">
      <formula>D286&gt;D285</formula>
    </cfRule>
  </conditionalFormatting>
  <conditionalFormatting sqref="D286:AA286">
    <cfRule type="expression" dxfId="1778" priority="3048">
      <formula>D287&gt;D286</formula>
    </cfRule>
  </conditionalFormatting>
  <conditionalFormatting sqref="K292">
    <cfRule type="expression" dxfId="1777" priority="3046">
      <formula>(K293+K294)&gt;K292</formula>
    </cfRule>
  </conditionalFormatting>
  <conditionalFormatting sqref="K294">
    <cfRule type="expression" dxfId="1776" priority="2560">
      <formula>K294&gt;K292</formula>
    </cfRule>
    <cfRule type="expression" dxfId="1775" priority="3045">
      <formula>K295&gt;K294</formula>
    </cfRule>
  </conditionalFormatting>
  <conditionalFormatting sqref="K298">
    <cfRule type="expression" dxfId="1774" priority="3044">
      <formula>K299&gt;K298</formula>
    </cfRule>
  </conditionalFormatting>
  <conditionalFormatting sqref="K302">
    <cfRule type="expression" dxfId="1773" priority="3043">
      <formula>K303&gt;K302</formula>
    </cfRule>
  </conditionalFormatting>
  <conditionalFormatting sqref="K306">
    <cfRule type="expression" dxfId="1772" priority="3042">
      <formula>K307&gt;K306</formula>
    </cfRule>
  </conditionalFormatting>
  <conditionalFormatting sqref="M292">
    <cfRule type="expression" dxfId="1771" priority="3041">
      <formula>(M293+M294)&gt;M292</formula>
    </cfRule>
  </conditionalFormatting>
  <conditionalFormatting sqref="M294">
    <cfRule type="expression" dxfId="1770" priority="3040">
      <formula>M295&gt;M294</formula>
    </cfRule>
  </conditionalFormatting>
  <conditionalFormatting sqref="M298">
    <cfRule type="expression" dxfId="1769" priority="3039">
      <formula>M299&gt;M298</formula>
    </cfRule>
  </conditionalFormatting>
  <conditionalFormatting sqref="M302">
    <cfRule type="expression" dxfId="1768" priority="3038">
      <formula>M303&gt;M302</formula>
    </cfRule>
  </conditionalFormatting>
  <conditionalFormatting sqref="M306">
    <cfRule type="expression" dxfId="1767" priority="3037">
      <formula>M307&gt;M306</formula>
    </cfRule>
  </conditionalFormatting>
  <conditionalFormatting sqref="O292">
    <cfRule type="expression" dxfId="1766" priority="3036">
      <formula>(O293+O294)&gt;O292</formula>
    </cfRule>
  </conditionalFormatting>
  <conditionalFormatting sqref="O294">
    <cfRule type="expression" dxfId="1765" priority="3035">
      <formula>O295&gt;O294</formula>
    </cfRule>
  </conditionalFormatting>
  <conditionalFormatting sqref="O298">
    <cfRule type="expression" dxfId="1764" priority="3034">
      <formula>O299&gt;O298</formula>
    </cfRule>
  </conditionalFormatting>
  <conditionalFormatting sqref="O302">
    <cfRule type="expression" dxfId="1763" priority="3033">
      <formula>O303&gt;O302</formula>
    </cfRule>
  </conditionalFormatting>
  <conditionalFormatting sqref="O306">
    <cfRule type="expression" dxfId="1762" priority="3032">
      <formula>O307&gt;O306</formula>
    </cfRule>
  </conditionalFormatting>
  <conditionalFormatting sqref="Q292">
    <cfRule type="expression" dxfId="1761" priority="3031">
      <formula>(Q293+Q294)&gt;Q292</formula>
    </cfRule>
  </conditionalFormatting>
  <conditionalFormatting sqref="Q294">
    <cfRule type="expression" dxfId="1760" priority="3030">
      <formula>Q295&gt;Q294</formula>
    </cfRule>
  </conditionalFormatting>
  <conditionalFormatting sqref="Q298">
    <cfRule type="expression" dxfId="1759" priority="3029">
      <formula>Q299&gt;Q298</formula>
    </cfRule>
  </conditionalFormatting>
  <conditionalFormatting sqref="Q302">
    <cfRule type="expression" dxfId="1758" priority="3028">
      <formula>Q303&gt;Q302</formula>
    </cfRule>
  </conditionalFormatting>
  <conditionalFormatting sqref="Q306">
    <cfRule type="expression" dxfId="1757" priority="3027">
      <formula>Q307&gt;Q306</formula>
    </cfRule>
  </conditionalFormatting>
  <conditionalFormatting sqref="S292">
    <cfRule type="expression" dxfId="1756" priority="3026">
      <formula>(S293+S294)&gt;S292</formula>
    </cfRule>
  </conditionalFormatting>
  <conditionalFormatting sqref="S294">
    <cfRule type="expression" dxfId="1755" priority="3025">
      <formula>S295&gt;S294</formula>
    </cfRule>
  </conditionalFormatting>
  <conditionalFormatting sqref="S298">
    <cfRule type="expression" dxfId="1754" priority="3024">
      <formula>S299&gt;S298</formula>
    </cfRule>
  </conditionalFormatting>
  <conditionalFormatting sqref="S302">
    <cfRule type="expression" dxfId="1753" priority="3023">
      <formula>S303&gt;S302</formula>
    </cfRule>
  </conditionalFormatting>
  <conditionalFormatting sqref="S306">
    <cfRule type="expression" dxfId="1752" priority="3022">
      <formula>S307&gt;S306</formula>
    </cfRule>
  </conditionalFormatting>
  <conditionalFormatting sqref="U292">
    <cfRule type="expression" dxfId="1751" priority="3021">
      <formula>(U293+U294)&gt;U292</formula>
    </cfRule>
  </conditionalFormatting>
  <conditionalFormatting sqref="U294">
    <cfRule type="expression" dxfId="1750" priority="3020">
      <formula>U295&gt;U294</formula>
    </cfRule>
  </conditionalFormatting>
  <conditionalFormatting sqref="U298">
    <cfRule type="expression" dxfId="1749" priority="3019">
      <formula>U299&gt;U298</formula>
    </cfRule>
  </conditionalFormatting>
  <conditionalFormatting sqref="U302">
    <cfRule type="expression" dxfId="1748" priority="3018">
      <formula>U303&gt;U302</formula>
    </cfRule>
  </conditionalFormatting>
  <conditionalFormatting sqref="U306">
    <cfRule type="expression" dxfId="1747" priority="3017">
      <formula>U307&gt;U306</formula>
    </cfRule>
  </conditionalFormatting>
  <conditionalFormatting sqref="W292">
    <cfRule type="expression" dxfId="1746" priority="3016">
      <formula>(W293+W294)&gt;W292</formula>
    </cfRule>
  </conditionalFormatting>
  <conditionalFormatting sqref="W294">
    <cfRule type="expression" dxfId="1745" priority="3015">
      <formula>W295&gt;W294</formula>
    </cfRule>
  </conditionalFormatting>
  <conditionalFormatting sqref="W298">
    <cfRule type="expression" dxfId="1744" priority="3014">
      <formula>W299&gt;W298</formula>
    </cfRule>
  </conditionalFormatting>
  <conditionalFormatting sqref="W302">
    <cfRule type="expression" dxfId="1743" priority="3013">
      <formula>W303&gt;W302</formula>
    </cfRule>
  </conditionalFormatting>
  <conditionalFormatting sqref="W306">
    <cfRule type="expression" dxfId="1742" priority="3012">
      <formula>W307&gt;W306</formula>
    </cfRule>
  </conditionalFormatting>
  <conditionalFormatting sqref="Y292">
    <cfRule type="expression" dxfId="1741" priority="3011">
      <formula>(Y293+Y294)&gt;Y292</formula>
    </cfRule>
  </conditionalFormatting>
  <conditionalFormatting sqref="Y294">
    <cfRule type="expression" dxfId="1740" priority="3010">
      <formula>Y295&gt;Y294</formula>
    </cfRule>
  </conditionalFormatting>
  <conditionalFormatting sqref="Y298">
    <cfRule type="expression" dxfId="1739" priority="3009">
      <formula>Y299&gt;Y298</formula>
    </cfRule>
  </conditionalFormatting>
  <conditionalFormatting sqref="Y302">
    <cfRule type="expression" dxfId="1738" priority="3008">
      <formula>Y303&gt;Y302</formula>
    </cfRule>
  </conditionalFormatting>
  <conditionalFormatting sqref="Y306">
    <cfRule type="expression" dxfId="1737" priority="3007">
      <formula>Y307&gt;Y306</formula>
    </cfRule>
  </conditionalFormatting>
  <conditionalFormatting sqref="J314">
    <cfRule type="expression" dxfId="1736" priority="3006">
      <formula>J315&gt;J314</formula>
    </cfRule>
  </conditionalFormatting>
  <conditionalFormatting sqref="L314">
    <cfRule type="expression" dxfId="1735" priority="3005">
      <formula>L315&gt;L314</formula>
    </cfRule>
  </conditionalFormatting>
  <conditionalFormatting sqref="N314">
    <cfRule type="expression" dxfId="1734" priority="3004">
      <formula>N315&gt;N314</formula>
    </cfRule>
  </conditionalFormatting>
  <conditionalFormatting sqref="P314">
    <cfRule type="expression" dxfId="1733" priority="3003">
      <formula>P315&gt;P314</formula>
    </cfRule>
  </conditionalFormatting>
  <conditionalFormatting sqref="R314">
    <cfRule type="expression" dxfId="1732" priority="3002">
      <formula>R315&gt;R314</formula>
    </cfRule>
  </conditionalFormatting>
  <conditionalFormatting sqref="T314">
    <cfRule type="expression" dxfId="1731" priority="3001">
      <formula>T315&gt;T314</formula>
    </cfRule>
  </conditionalFormatting>
  <conditionalFormatting sqref="V314">
    <cfRule type="expression" dxfId="1730" priority="3000">
      <formula>V315&gt;V314</formula>
    </cfRule>
  </conditionalFormatting>
  <conditionalFormatting sqref="X314">
    <cfRule type="expression" dxfId="1729" priority="2999">
      <formula>X315&gt;X314</formula>
    </cfRule>
  </conditionalFormatting>
  <conditionalFormatting sqref="Z314">
    <cfRule type="expression" dxfId="1728" priority="2998">
      <formula>Z315&gt;Z314</formula>
    </cfRule>
  </conditionalFormatting>
  <conditionalFormatting sqref="K293">
    <cfRule type="expression" dxfId="1727" priority="2553">
      <formula>K293&gt;K292</formula>
    </cfRule>
    <cfRule type="expression" dxfId="1726" priority="2997">
      <formula>K328&gt;K293</formula>
    </cfRule>
  </conditionalFormatting>
  <conditionalFormatting sqref="M293">
    <cfRule type="expression" dxfId="1725" priority="2996">
      <formula>M328&gt;M293</formula>
    </cfRule>
  </conditionalFormatting>
  <conditionalFormatting sqref="O293">
    <cfRule type="expression" dxfId="1724" priority="2995">
      <formula>O328&gt;O293</formula>
    </cfRule>
  </conditionalFormatting>
  <conditionalFormatting sqref="Q293">
    <cfRule type="expression" dxfId="1723" priority="2994">
      <formula>Q328&gt;Q293</formula>
    </cfRule>
  </conditionalFormatting>
  <conditionalFormatting sqref="S293">
    <cfRule type="expression" dxfId="1722" priority="2993">
      <formula>S328&gt;S293</formula>
    </cfRule>
  </conditionalFormatting>
  <conditionalFormatting sqref="U293">
    <cfRule type="expression" dxfId="1721" priority="2992">
      <formula>U328&gt;U293</formula>
    </cfRule>
  </conditionalFormatting>
  <conditionalFormatting sqref="W293">
    <cfRule type="expression" dxfId="1720" priority="2991">
      <formula>W328&gt;W293</formula>
    </cfRule>
  </conditionalFormatting>
  <conditionalFormatting sqref="Y293">
    <cfRule type="expression" dxfId="1719" priority="2990">
      <formula>Y328&gt;Y293</formula>
    </cfRule>
  </conditionalFormatting>
  <conditionalFormatting sqref="K295 M295 O295 Q295 S295 U295 W295 Y295">
    <cfRule type="expression" dxfId="1718" priority="2989">
      <formula>K329&gt;K295</formula>
    </cfRule>
  </conditionalFormatting>
  <conditionalFormatting sqref="M292">
    <cfRule type="expression" dxfId="1717" priority="2985">
      <formula>(M293+M294)&gt;M292</formula>
    </cfRule>
  </conditionalFormatting>
  <conditionalFormatting sqref="M294">
    <cfRule type="expression" dxfId="1716" priority="2984">
      <formula>M295&gt;M294</formula>
    </cfRule>
  </conditionalFormatting>
  <conditionalFormatting sqref="M298">
    <cfRule type="expression" dxfId="1715" priority="2983">
      <formula>M299&gt;M298</formula>
    </cfRule>
  </conditionalFormatting>
  <conditionalFormatting sqref="M302">
    <cfRule type="expression" dxfId="1714" priority="2982">
      <formula>M303&gt;M302</formula>
    </cfRule>
  </conditionalFormatting>
  <conditionalFormatting sqref="M306">
    <cfRule type="expression" dxfId="1713" priority="2981">
      <formula>M307&gt;M306</formula>
    </cfRule>
  </conditionalFormatting>
  <conditionalFormatting sqref="M293">
    <cfRule type="expression" dxfId="1712" priority="2980">
      <formula>M328&gt;M293</formula>
    </cfRule>
  </conditionalFormatting>
  <conditionalFormatting sqref="K305 M305 O305 Q305 S305 U305 W305 Y305">
    <cfRule type="expression" dxfId="1711" priority="2978">
      <formula>K334&gt;K305</formula>
    </cfRule>
  </conditionalFormatting>
  <conditionalFormatting sqref="O292">
    <cfRule type="expression" dxfId="1710" priority="2976">
      <formula>(O293+O294)&gt;O292</formula>
    </cfRule>
  </conditionalFormatting>
  <conditionalFormatting sqref="O294">
    <cfRule type="expression" dxfId="1709" priority="2975">
      <formula>O295&gt;O294</formula>
    </cfRule>
  </conditionalFormatting>
  <conditionalFormatting sqref="O298">
    <cfRule type="expression" dxfId="1708" priority="2974">
      <formula>O299&gt;O298</formula>
    </cfRule>
  </conditionalFormatting>
  <conditionalFormatting sqref="O302">
    <cfRule type="expression" dxfId="1707" priority="2973">
      <formula>O303&gt;O302</formula>
    </cfRule>
  </conditionalFormatting>
  <conditionalFormatting sqref="O306">
    <cfRule type="expression" dxfId="1706" priority="2972">
      <formula>O307&gt;O306</formula>
    </cfRule>
  </conditionalFormatting>
  <conditionalFormatting sqref="O293">
    <cfRule type="expression" dxfId="1705" priority="2971">
      <formula>O328&gt;O293</formula>
    </cfRule>
  </conditionalFormatting>
  <conditionalFormatting sqref="Q292">
    <cfRule type="expression" dxfId="1704" priority="2967">
      <formula>(Q293+Q294)&gt;Q292</formula>
    </cfRule>
  </conditionalFormatting>
  <conditionalFormatting sqref="Q294">
    <cfRule type="expression" dxfId="1703" priority="2966">
      <formula>Q295&gt;Q294</formula>
    </cfRule>
  </conditionalFormatting>
  <conditionalFormatting sqref="Q298">
    <cfRule type="expression" dxfId="1702" priority="2965">
      <formula>Q299&gt;Q298</formula>
    </cfRule>
  </conditionalFormatting>
  <conditionalFormatting sqref="Q302">
    <cfRule type="expression" dxfId="1701" priority="2964">
      <formula>Q303&gt;Q302</formula>
    </cfRule>
  </conditionalFormatting>
  <conditionalFormatting sqref="Q306">
    <cfRule type="expression" dxfId="1700" priority="2963">
      <formula>Q307&gt;Q306</formula>
    </cfRule>
  </conditionalFormatting>
  <conditionalFormatting sqref="Q293">
    <cfRule type="expression" dxfId="1699" priority="2962">
      <formula>Q328&gt;Q293</formula>
    </cfRule>
  </conditionalFormatting>
  <conditionalFormatting sqref="S292">
    <cfRule type="expression" dxfId="1698" priority="2958">
      <formula>(S293+S294)&gt;S292</formula>
    </cfRule>
  </conditionalFormatting>
  <conditionalFormatting sqref="S294">
    <cfRule type="expression" dxfId="1697" priority="2957">
      <formula>S295&gt;S294</formula>
    </cfRule>
  </conditionalFormatting>
  <conditionalFormatting sqref="S298">
    <cfRule type="expression" dxfId="1696" priority="2956">
      <formula>S299&gt;S298</formula>
    </cfRule>
  </conditionalFormatting>
  <conditionalFormatting sqref="S302">
    <cfRule type="expression" dxfId="1695" priority="2955">
      <formula>S303&gt;S302</formula>
    </cfRule>
  </conditionalFormatting>
  <conditionalFormatting sqref="S306">
    <cfRule type="expression" dxfId="1694" priority="2954">
      <formula>S307&gt;S306</formula>
    </cfRule>
  </conditionalFormatting>
  <conditionalFormatting sqref="S293">
    <cfRule type="expression" dxfId="1693" priority="2953">
      <formula>S328&gt;S293</formula>
    </cfRule>
  </conditionalFormatting>
  <conditionalFormatting sqref="U292">
    <cfRule type="expression" dxfId="1692" priority="2949">
      <formula>(U293+U294)&gt;U292</formula>
    </cfRule>
  </conditionalFormatting>
  <conditionalFormatting sqref="U294">
    <cfRule type="expression" dxfId="1691" priority="2948">
      <formula>U295&gt;U294</formula>
    </cfRule>
  </conditionalFormatting>
  <conditionalFormatting sqref="U298">
    <cfRule type="expression" dxfId="1690" priority="2947">
      <formula>U299&gt;U298</formula>
    </cfRule>
  </conditionalFormatting>
  <conditionalFormatting sqref="U302">
    <cfRule type="expression" dxfId="1689" priority="2946">
      <formula>U303&gt;U302</formula>
    </cfRule>
  </conditionalFormatting>
  <conditionalFormatting sqref="U306">
    <cfRule type="expression" dxfId="1688" priority="2945">
      <formula>U307&gt;U306</formula>
    </cfRule>
  </conditionalFormatting>
  <conditionalFormatting sqref="U293">
    <cfRule type="expression" dxfId="1687" priority="2944">
      <formula>U328&gt;U293</formula>
    </cfRule>
  </conditionalFormatting>
  <conditionalFormatting sqref="W292">
    <cfRule type="expression" dxfId="1686" priority="2940">
      <formula>(W293+W294)&gt;W292</formula>
    </cfRule>
  </conditionalFormatting>
  <conditionalFormatting sqref="W294">
    <cfRule type="expression" dxfId="1685" priority="2939">
      <formula>W295&gt;W294</formula>
    </cfRule>
  </conditionalFormatting>
  <conditionalFormatting sqref="W298">
    <cfRule type="expression" dxfId="1684" priority="2938">
      <formula>W299&gt;W298</formula>
    </cfRule>
  </conditionalFormatting>
  <conditionalFormatting sqref="W302">
    <cfRule type="expression" dxfId="1683" priority="2937">
      <formula>W303&gt;W302</formula>
    </cfRule>
  </conditionalFormatting>
  <conditionalFormatting sqref="W306">
    <cfRule type="expression" dxfId="1682" priority="2936">
      <formula>W307&gt;W306</formula>
    </cfRule>
  </conditionalFormatting>
  <conditionalFormatting sqref="W293">
    <cfRule type="expression" dxfId="1681" priority="2935">
      <formula>W328&gt;W293</formula>
    </cfRule>
  </conditionalFormatting>
  <conditionalFormatting sqref="Y292">
    <cfRule type="expression" dxfId="1680" priority="2931">
      <formula>(Y293+Y294)&gt;Y292</formula>
    </cfRule>
  </conditionalFormatting>
  <conditionalFormatting sqref="Y294">
    <cfRule type="expression" dxfId="1679" priority="2930">
      <formula>Y295&gt;Y294</formula>
    </cfRule>
  </conditionalFormatting>
  <conditionalFormatting sqref="Y298">
    <cfRule type="expression" dxfId="1678" priority="2929">
      <formula>Y299&gt;Y298</formula>
    </cfRule>
  </conditionalFormatting>
  <conditionalFormatting sqref="Y302">
    <cfRule type="expression" dxfId="1677" priority="2928">
      <formula>Y303&gt;Y302</formula>
    </cfRule>
  </conditionalFormatting>
  <conditionalFormatting sqref="Y306">
    <cfRule type="expression" dxfId="1676" priority="2927">
      <formula>Y307&gt;Y306</formula>
    </cfRule>
  </conditionalFormatting>
  <conditionalFormatting sqref="Y293">
    <cfRule type="expression" dxfId="1675" priority="2926">
      <formula>Y328&gt;Y293</formula>
    </cfRule>
  </conditionalFormatting>
  <conditionalFormatting sqref="K339 M339 O339 Q339 S339 U339 W339 Y339">
    <cfRule type="expression" dxfId="1674" priority="2922">
      <formula>K339&gt;K359</formula>
    </cfRule>
  </conditionalFormatting>
  <conditionalFormatting sqref="D372:Y372 AB372:AG372">
    <cfRule type="expression" dxfId="1673" priority="2912">
      <formula>D372&lt;&gt;D359</formula>
    </cfRule>
  </conditionalFormatting>
  <conditionalFormatting sqref="F27:Y27 AB27:AI27">
    <cfRule type="expression" dxfId="1672" priority="2895">
      <formula>F28&gt;F27</formula>
    </cfRule>
  </conditionalFormatting>
  <conditionalFormatting sqref="F33:Y33 AB33:AI33">
    <cfRule type="expression" dxfId="1671" priority="2894">
      <formula>F34&gt;F33</formula>
    </cfRule>
  </conditionalFormatting>
  <conditionalFormatting sqref="F35:Y35 AB35:AI35">
    <cfRule type="expression" dxfId="1670" priority="2893">
      <formula>F36&gt;F35</formula>
    </cfRule>
  </conditionalFormatting>
  <conditionalFormatting sqref="F37">
    <cfRule type="expression" dxfId="1669" priority="2892">
      <formula>F38&gt;F37</formula>
    </cfRule>
  </conditionalFormatting>
  <conditionalFormatting sqref="G37">
    <cfRule type="expression" dxfId="1668" priority="2891">
      <formula>G38&gt;G37</formula>
    </cfRule>
  </conditionalFormatting>
  <conditionalFormatting sqref="F39:G39">
    <cfRule type="expression" dxfId="1667" priority="2890">
      <formula>F40&gt;F39</formula>
    </cfRule>
  </conditionalFormatting>
  <conditionalFormatting sqref="F41:Y41 AB41:AI41">
    <cfRule type="expression" dxfId="1666" priority="2889">
      <formula>F42&gt;F41</formula>
    </cfRule>
  </conditionalFormatting>
  <conditionalFormatting sqref="F43:Y43 AB43:AI43">
    <cfRule type="cellIs" dxfId="1665" priority="1402" operator="equal">
      <formula>0</formula>
    </cfRule>
    <cfRule type="expression" dxfId="1664" priority="2888">
      <formula>F44&gt;F43</formula>
    </cfRule>
  </conditionalFormatting>
  <conditionalFormatting sqref="F45:Y45 AB45:AI45">
    <cfRule type="expression" dxfId="1663" priority="2887">
      <formula>F46&gt;F45</formula>
    </cfRule>
  </conditionalFormatting>
  <conditionalFormatting sqref="L47:Y47 AB47:AI47">
    <cfRule type="expression" dxfId="1662" priority="2886">
      <formula>L48&gt;L47</formula>
    </cfRule>
  </conditionalFormatting>
  <conditionalFormatting sqref="L49">
    <cfRule type="expression" dxfId="1661" priority="2885">
      <formula>L50&gt;L49</formula>
    </cfRule>
  </conditionalFormatting>
  <conditionalFormatting sqref="N49">
    <cfRule type="expression" dxfId="1660" priority="2884">
      <formula>N50&gt;N49</formula>
    </cfRule>
  </conditionalFormatting>
  <conditionalFormatting sqref="P49">
    <cfRule type="expression" dxfId="1659" priority="2883">
      <formula>P50&gt;P49</formula>
    </cfRule>
  </conditionalFormatting>
  <conditionalFormatting sqref="R49">
    <cfRule type="expression" dxfId="1658" priority="2882">
      <formula>R50&gt;R49</formula>
    </cfRule>
  </conditionalFormatting>
  <conditionalFormatting sqref="T49">
    <cfRule type="expression" dxfId="1657" priority="2881">
      <formula>T50&gt;T49</formula>
    </cfRule>
  </conditionalFormatting>
  <conditionalFormatting sqref="V49">
    <cfRule type="expression" dxfId="1656" priority="2880">
      <formula>V50&gt;V49</formula>
    </cfRule>
  </conditionalFormatting>
  <conditionalFormatting sqref="X49">
    <cfRule type="expression" dxfId="1655" priority="2879">
      <formula>X50&gt;X49</formula>
    </cfRule>
  </conditionalFormatting>
  <conditionalFormatting sqref="Z49 AB49 AD49 AF49 AH49">
    <cfRule type="expression" dxfId="1654" priority="2878">
      <formula>Z50&gt;Z49</formula>
    </cfRule>
  </conditionalFormatting>
  <conditionalFormatting sqref="AK10 AK13 AK17:AK18">
    <cfRule type="notContainsBlanks" dxfId="1653" priority="2876">
      <formula>LEN(TRIM(AK10))&gt;0</formula>
    </cfRule>
  </conditionalFormatting>
  <conditionalFormatting sqref="AM8:AN8 AM9:AM18">
    <cfRule type="notContainsBlanks" dxfId="1652" priority="2875">
      <formula>LEN(TRIM(AM8))&gt;0</formula>
    </cfRule>
  </conditionalFormatting>
  <conditionalFormatting sqref="AL8">
    <cfRule type="notContainsBlanks" dxfId="1651" priority="3344">
      <formula>LEN(TRIM(AL8))&gt;0</formula>
    </cfRule>
  </conditionalFormatting>
  <conditionalFormatting sqref="Y296">
    <cfRule type="cellIs" dxfId="1650" priority="2863" operator="equal">
      <formula>0</formula>
    </cfRule>
  </conditionalFormatting>
  <conditionalFormatting sqref="W296">
    <cfRule type="cellIs" dxfId="1649" priority="2862" operator="equal">
      <formula>0</formula>
    </cfRule>
  </conditionalFormatting>
  <conditionalFormatting sqref="U296">
    <cfRule type="cellIs" dxfId="1648" priority="2861" operator="equal">
      <formula>0</formula>
    </cfRule>
  </conditionalFormatting>
  <conditionalFormatting sqref="S296">
    <cfRule type="cellIs" dxfId="1647" priority="2860" operator="equal">
      <formula>0</formula>
    </cfRule>
  </conditionalFormatting>
  <conditionalFormatting sqref="Q296">
    <cfRule type="cellIs" dxfId="1646" priority="2859" operator="equal">
      <formula>0</formula>
    </cfRule>
  </conditionalFormatting>
  <conditionalFormatting sqref="O296">
    <cfRule type="cellIs" dxfId="1645" priority="2858" operator="equal">
      <formula>0</formula>
    </cfRule>
  </conditionalFormatting>
  <conditionalFormatting sqref="M296">
    <cfRule type="cellIs" dxfId="1644" priority="2857" operator="equal">
      <formula>0</formula>
    </cfRule>
  </conditionalFormatting>
  <conditionalFormatting sqref="K296">
    <cfRule type="cellIs" dxfId="1643" priority="2856" operator="equal">
      <formula>0</formula>
    </cfRule>
  </conditionalFormatting>
  <conditionalFormatting sqref="B296">
    <cfRule type="cellIs" dxfId="1642" priority="2855" operator="equal">
      <formula>0</formula>
    </cfRule>
  </conditionalFormatting>
  <conditionalFormatting sqref="B297">
    <cfRule type="cellIs" dxfId="1641" priority="2854" operator="equal">
      <formula>0</formula>
    </cfRule>
  </conditionalFormatting>
  <conditionalFormatting sqref="K297">
    <cfRule type="cellIs" dxfId="1640" priority="2846" operator="equal">
      <formula>0</formula>
    </cfRule>
  </conditionalFormatting>
  <conditionalFormatting sqref="M297">
    <cfRule type="cellIs" dxfId="1639" priority="2845" operator="equal">
      <formula>0</formula>
    </cfRule>
  </conditionalFormatting>
  <conditionalFormatting sqref="O297">
    <cfRule type="cellIs" dxfId="1638" priority="2844" operator="equal">
      <formula>0</formula>
    </cfRule>
  </conditionalFormatting>
  <conditionalFormatting sqref="Q297">
    <cfRule type="cellIs" dxfId="1637" priority="2843" operator="equal">
      <formula>0</formula>
    </cfRule>
  </conditionalFormatting>
  <conditionalFormatting sqref="S297">
    <cfRule type="cellIs" dxfId="1636" priority="2842" operator="equal">
      <formula>0</formula>
    </cfRule>
  </conditionalFormatting>
  <conditionalFormatting sqref="U297">
    <cfRule type="cellIs" dxfId="1635" priority="2841" operator="equal">
      <formula>0</formula>
    </cfRule>
  </conditionalFormatting>
  <conditionalFormatting sqref="W297">
    <cfRule type="cellIs" dxfId="1634" priority="2840" operator="equal">
      <formula>0</formula>
    </cfRule>
  </conditionalFormatting>
  <conditionalFormatting sqref="Y297">
    <cfRule type="cellIs" dxfId="1633" priority="2839" operator="equal">
      <formula>0</formula>
    </cfRule>
  </conditionalFormatting>
  <conditionalFormatting sqref="K310">
    <cfRule type="expression" dxfId="1632" priority="3180">
      <formula>K339&gt;K310</formula>
    </cfRule>
  </conditionalFormatting>
  <conditionalFormatting sqref="K307">
    <cfRule type="expression" dxfId="1631" priority="1738">
      <formula>K342&gt;K309+K307</formula>
    </cfRule>
    <cfRule type="expression" dxfId="1630" priority="3181">
      <formula>K335&gt;K307</formula>
    </cfRule>
  </conditionalFormatting>
  <conditionalFormatting sqref="M296 O296 Q296 S296 U296 W296 Y296 K296">
    <cfRule type="expression" dxfId="1629" priority="3182">
      <formula>K333&gt;K296</formula>
    </cfRule>
  </conditionalFormatting>
  <conditionalFormatting sqref="K330">
    <cfRule type="cellIs" dxfId="1628" priority="2838" operator="equal">
      <formula>0</formula>
    </cfRule>
  </conditionalFormatting>
  <conditionalFormatting sqref="O330">
    <cfRule type="cellIs" dxfId="1627" priority="2829" operator="equal">
      <formula>0</formula>
    </cfRule>
  </conditionalFormatting>
  <conditionalFormatting sqref="M330">
    <cfRule type="cellIs" dxfId="1626" priority="2830" operator="equal">
      <formula>0</formula>
    </cfRule>
  </conditionalFormatting>
  <conditionalFormatting sqref="Q330">
    <cfRule type="cellIs" dxfId="1625" priority="2828" operator="equal">
      <formula>0</formula>
    </cfRule>
  </conditionalFormatting>
  <conditionalFormatting sqref="S330">
    <cfRule type="cellIs" dxfId="1624" priority="2827" operator="equal">
      <formula>0</formula>
    </cfRule>
  </conditionalFormatting>
  <conditionalFormatting sqref="U330">
    <cfRule type="cellIs" dxfId="1623" priority="2826" operator="equal">
      <formula>0</formula>
    </cfRule>
  </conditionalFormatting>
  <conditionalFormatting sqref="W330">
    <cfRule type="cellIs" dxfId="1622" priority="2825" operator="equal">
      <formula>0</formula>
    </cfRule>
  </conditionalFormatting>
  <conditionalFormatting sqref="Y330">
    <cfRule type="cellIs" dxfId="1621" priority="2824" operator="equal">
      <formula>0</formula>
    </cfRule>
  </conditionalFormatting>
  <conditionalFormatting sqref="B330">
    <cfRule type="cellIs" dxfId="1620" priority="2823" operator="equal">
      <formula>0</formula>
    </cfRule>
  </conditionalFormatting>
  <conditionalFormatting sqref="B318">
    <cfRule type="cellIs" dxfId="1619" priority="2822" operator="equal">
      <formula>0</formula>
    </cfRule>
  </conditionalFormatting>
  <conditionalFormatting sqref="B321">
    <cfRule type="cellIs" dxfId="1618" priority="2809" operator="equal">
      <formula>0</formula>
    </cfRule>
  </conditionalFormatting>
  <conditionalFormatting sqref="AK324">
    <cfRule type="notContainsBlanks" dxfId="1617" priority="2799">
      <formula>LEN(TRIM(AK324))&gt;0</formula>
    </cfRule>
  </conditionalFormatting>
  <conditionalFormatting sqref="AM324">
    <cfRule type="notContainsBlanks" dxfId="1616" priority="2798">
      <formula>LEN(TRIM(AM324))&gt;0</formula>
    </cfRule>
  </conditionalFormatting>
  <conditionalFormatting sqref="AJ324">
    <cfRule type="cellIs" dxfId="1615" priority="2797" operator="equal">
      <formula>0</formula>
    </cfRule>
  </conditionalFormatting>
  <conditionalFormatting sqref="B324">
    <cfRule type="cellIs" dxfId="1614" priority="2786" operator="equal">
      <formula>0</formula>
    </cfRule>
  </conditionalFormatting>
  <conditionalFormatting sqref="AK274">
    <cfRule type="notContainsBlanks" dxfId="1613" priority="2785">
      <formula>LEN(TRIM(AK274))&gt;0</formula>
    </cfRule>
  </conditionalFormatting>
  <conditionalFormatting sqref="AM274:AN274">
    <cfRule type="notContainsBlanks" dxfId="1612" priority="2784">
      <formula>LEN(TRIM(AM274))&gt;0</formula>
    </cfRule>
  </conditionalFormatting>
  <conditionalFormatting sqref="AL274">
    <cfRule type="notContainsBlanks" dxfId="1611" priority="3345">
      <formula>LEN(TRIM(AL274))&gt;0</formula>
    </cfRule>
  </conditionalFormatting>
  <conditionalFormatting sqref="AJ274">
    <cfRule type="cellIs" dxfId="1610" priority="2781" operator="equal">
      <formula>0</formula>
    </cfRule>
  </conditionalFormatting>
  <conditionalFormatting sqref="AK239:AK240 AK242 AK244:AK246">
    <cfRule type="notContainsBlanks" dxfId="1609" priority="2779">
      <formula>LEN(TRIM(AK239))&gt;0</formula>
    </cfRule>
  </conditionalFormatting>
  <conditionalFormatting sqref="AM239:AN246">
    <cfRule type="notContainsBlanks" dxfId="1608" priority="2778">
      <formula>LEN(TRIM(AM239))&gt;0</formula>
    </cfRule>
  </conditionalFormatting>
  <conditionalFormatting sqref="AJ239:AJ246">
    <cfRule type="cellIs" dxfId="1607" priority="2775" operator="equal">
      <formula>0</formula>
    </cfRule>
  </conditionalFormatting>
  <conditionalFormatting sqref="D238:AG238 AJ238">
    <cfRule type="cellIs" dxfId="1606" priority="2773" operator="equal">
      <formula>0</formula>
    </cfRule>
  </conditionalFormatting>
  <conditionalFormatting sqref="AM422 AM428:AM429">
    <cfRule type="notContainsBlanks" dxfId="1605" priority="2769">
      <formula>LEN(TRIM(AM422))&gt;0</formula>
    </cfRule>
  </conditionalFormatting>
  <conditionalFormatting sqref="AJ422">
    <cfRule type="cellIs" dxfId="1604" priority="2768" operator="equal">
      <formula>0</formula>
    </cfRule>
  </conditionalFormatting>
  <conditionalFormatting sqref="AK429">
    <cfRule type="notContainsBlanks" dxfId="1603" priority="2770">
      <formula>LEN(TRIM(AK429))&gt;0</formula>
    </cfRule>
  </conditionalFormatting>
  <conditionalFormatting sqref="AK423:AK425">
    <cfRule type="notContainsBlanks" dxfId="1602" priority="2767">
      <formula>LEN(TRIM(AK423))&gt;0</formula>
    </cfRule>
  </conditionalFormatting>
  <conditionalFormatting sqref="AM423:AM427">
    <cfRule type="notContainsBlanks" dxfId="1601" priority="2764">
      <formula>LEN(TRIM(AM423))&gt;0</formula>
    </cfRule>
  </conditionalFormatting>
  <conditionalFormatting sqref="F426:Y426 D423:Y423 AB423:AI423 AB426:AI426">
    <cfRule type="cellIs" dxfId="1600" priority="2762" operator="equal">
      <formula>0</formula>
    </cfRule>
  </conditionalFormatting>
  <conditionalFormatting sqref="AJ423:AJ432">
    <cfRule type="cellIs" dxfId="1599" priority="2761" operator="equal">
      <formula>0</formula>
    </cfRule>
  </conditionalFormatting>
  <conditionalFormatting sqref="B425">
    <cfRule type="cellIs" dxfId="1598" priority="2757" operator="equal">
      <formula>0</formula>
    </cfRule>
  </conditionalFormatting>
  <conditionalFormatting sqref="B427">
    <cfRule type="cellIs" dxfId="1597" priority="2756" operator="equal">
      <formula>0</formula>
    </cfRule>
  </conditionalFormatting>
  <conditionalFormatting sqref="F425:Y425 AB425:AI425">
    <cfRule type="cellIs" dxfId="1596" priority="2755" operator="equal">
      <formula>0</formula>
    </cfRule>
  </conditionalFormatting>
  <conditionalFormatting sqref="D427:AI427">
    <cfRule type="cellIs" dxfId="1595" priority="2753" operator="equal">
      <formula>0</formula>
    </cfRule>
  </conditionalFormatting>
  <conditionalFormatting sqref="AM431">
    <cfRule type="notContainsBlanks" dxfId="1594" priority="2751">
      <formula>LEN(TRIM(AM431))&gt;0</formula>
    </cfRule>
  </conditionalFormatting>
  <conditionalFormatting sqref="AM432">
    <cfRule type="notContainsBlanks" dxfId="1593" priority="2747">
      <formula>LEN(TRIM(AM432))&gt;0</formula>
    </cfRule>
  </conditionalFormatting>
  <conditionalFormatting sqref="F429:Y429 AB429:AI429">
    <cfRule type="cellIs" dxfId="1592" priority="2744" operator="equal">
      <formula>0</formula>
    </cfRule>
  </conditionalFormatting>
  <conditionalFormatting sqref="B429">
    <cfRule type="cellIs" dxfId="1591" priority="2743" operator="equal">
      <formula>0</formula>
    </cfRule>
  </conditionalFormatting>
  <conditionalFormatting sqref="B432">
    <cfRule type="cellIs" dxfId="1590" priority="2742" operator="equal">
      <formula>0</formula>
    </cfRule>
  </conditionalFormatting>
  <conditionalFormatting sqref="D432:Y432 AB432:AI432">
    <cfRule type="cellIs" dxfId="1589" priority="2741" operator="equal">
      <formula>0</formula>
    </cfRule>
  </conditionalFormatting>
  <conditionalFormatting sqref="J127:AA127">
    <cfRule type="expression" dxfId="1588" priority="3200">
      <formula>J127&gt;J124</formula>
    </cfRule>
  </conditionalFormatting>
  <conditionalFormatting sqref="D379:AI379">
    <cfRule type="expression" dxfId="1587" priority="3203">
      <formula>D379&gt;D359</formula>
    </cfRule>
  </conditionalFormatting>
  <conditionalFormatting sqref="D379:AI379">
    <cfRule type="expression" dxfId="1586" priority="3205">
      <formula>(D359*0.7)&gt;D379</formula>
    </cfRule>
  </conditionalFormatting>
  <conditionalFormatting sqref="D358:Y358 AB358:AG358">
    <cfRule type="cellIs" dxfId="1585" priority="2738" operator="equal">
      <formula>0</formula>
    </cfRule>
  </conditionalFormatting>
  <conditionalFormatting sqref="AJ358">
    <cfRule type="cellIs" dxfId="1584" priority="2737" operator="equal">
      <formula>0</formula>
    </cfRule>
  </conditionalFormatting>
  <conditionalFormatting sqref="D346:AI346">
    <cfRule type="cellIs" dxfId="1583" priority="2734" operator="equal">
      <formula>0</formula>
    </cfRule>
  </conditionalFormatting>
  <conditionalFormatting sqref="D346:AI346">
    <cfRule type="cellIs" dxfId="1582" priority="2733" operator="equal">
      <formula>0</formula>
    </cfRule>
  </conditionalFormatting>
  <conditionalFormatting sqref="J148:AA148">
    <cfRule type="cellIs" dxfId="1581" priority="2729" operator="equal">
      <formula>0</formula>
    </cfRule>
  </conditionalFormatting>
  <conditionalFormatting sqref="B148">
    <cfRule type="cellIs" dxfId="1580" priority="2732" operator="equal">
      <formula>0</formula>
    </cfRule>
  </conditionalFormatting>
  <conditionalFormatting sqref="J148:AA148">
    <cfRule type="cellIs" dxfId="1579" priority="2730" operator="equal">
      <formula>0</formula>
    </cfRule>
  </conditionalFormatting>
  <conditionalFormatting sqref="J148:AA148">
    <cfRule type="expression" dxfId="1578" priority="2731">
      <formula>J193&gt;J148</formula>
    </cfRule>
  </conditionalFormatting>
  <conditionalFormatting sqref="B128">
    <cfRule type="cellIs" dxfId="1577" priority="2728" operator="equal">
      <formula>0</formula>
    </cfRule>
  </conditionalFormatting>
  <conditionalFormatting sqref="AK376">
    <cfRule type="notContainsBlanks" dxfId="1576" priority="2693">
      <formula>LEN(TRIM(AK376))&gt;0</formula>
    </cfRule>
  </conditionalFormatting>
  <conditionalFormatting sqref="AM376">
    <cfRule type="notContainsBlanks" dxfId="1575" priority="2692">
      <formula>LEN(TRIM(AM376))&gt;0</formula>
    </cfRule>
  </conditionalFormatting>
  <conditionalFormatting sqref="AK375:AK376">
    <cfRule type="notContainsBlanks" dxfId="1574" priority="2689">
      <formula>LEN(TRIM(AK375))&gt;0</formula>
    </cfRule>
  </conditionalFormatting>
  <conditionalFormatting sqref="AM374:AM376">
    <cfRule type="notContainsBlanks" dxfId="1573" priority="2688">
      <formula>LEN(TRIM(AM374))&gt;0</formula>
    </cfRule>
  </conditionalFormatting>
  <conditionalFormatting sqref="AM390">
    <cfRule type="notContainsBlanks" dxfId="1572" priority="2676">
      <formula>LEN(TRIM(AM390))&gt;0</formula>
    </cfRule>
  </conditionalFormatting>
  <conditionalFormatting sqref="AJ390">
    <cfRule type="cellIs" dxfId="1571" priority="2675" operator="equal">
      <formula>0</formula>
    </cfRule>
  </conditionalFormatting>
  <conditionalFormatting sqref="AM384:AM387">
    <cfRule type="notContainsBlanks" dxfId="1570" priority="2680">
      <formula>LEN(TRIM(AM384))&gt;0</formula>
    </cfRule>
  </conditionalFormatting>
  <conditionalFormatting sqref="AK389 AK391">
    <cfRule type="notContainsBlanks" dxfId="1569" priority="2673">
      <formula>LEN(TRIM(AK389))&gt;0</formula>
    </cfRule>
  </conditionalFormatting>
  <conditionalFormatting sqref="AM389:AM391">
    <cfRule type="notContainsBlanks" dxfId="1568" priority="2672">
      <formula>LEN(TRIM(AM389))&gt;0</formula>
    </cfRule>
  </conditionalFormatting>
  <conditionalFormatting sqref="AJ389:AJ390">
    <cfRule type="cellIs" dxfId="1567" priority="2671" operator="equal">
      <formula>0</formula>
    </cfRule>
  </conditionalFormatting>
  <conditionalFormatting sqref="D376:Y376 AB376:AI376">
    <cfRule type="cellIs" dxfId="1566" priority="2667" operator="equal">
      <formula>0</formula>
    </cfRule>
  </conditionalFormatting>
  <conditionalFormatting sqref="D376:Y376 AB376:AI376">
    <cfRule type="cellIs" dxfId="1565" priority="2666" operator="equal">
      <formula>0</formula>
    </cfRule>
  </conditionalFormatting>
  <conditionalFormatting sqref="D376:Y376 AB376:AI376">
    <cfRule type="cellIs" dxfId="1564" priority="2665" operator="equal">
      <formula>0</formula>
    </cfRule>
  </conditionalFormatting>
  <conditionalFormatting sqref="AK377:AK382">
    <cfRule type="notContainsBlanks" dxfId="1563" priority="2661">
      <formula>LEN(TRIM(AK377))&gt;0</formula>
    </cfRule>
  </conditionalFormatting>
  <conditionalFormatting sqref="AM377:AM383">
    <cfRule type="notContainsBlanks" dxfId="1562" priority="2660">
      <formula>LEN(TRIM(AM377))&gt;0</formula>
    </cfRule>
  </conditionalFormatting>
  <conditionalFormatting sqref="AK388">
    <cfRule type="notContainsBlanks" dxfId="1561" priority="2652">
      <formula>LEN(TRIM(AK388))&gt;0</formula>
    </cfRule>
  </conditionalFormatting>
  <conditionalFormatting sqref="AM388">
    <cfRule type="notContainsBlanks" dxfId="1560" priority="2651">
      <formula>LEN(TRIM(AM388))&gt;0</formula>
    </cfRule>
  </conditionalFormatting>
  <conditionalFormatting sqref="AJ388">
    <cfRule type="cellIs" dxfId="1559" priority="2650" operator="equal">
      <formula>0</formula>
    </cfRule>
  </conditionalFormatting>
  <conditionalFormatting sqref="D390:AI390">
    <cfRule type="cellIs" dxfId="1558" priority="2648" operator="equal">
      <formula>0</formula>
    </cfRule>
  </conditionalFormatting>
  <conditionalFormatting sqref="D390:AI390">
    <cfRule type="cellIs" dxfId="1557" priority="2647" operator="equal">
      <formula>0</formula>
    </cfRule>
  </conditionalFormatting>
  <conditionalFormatting sqref="D390:AI390">
    <cfRule type="cellIs" dxfId="1556" priority="2646" operator="equal">
      <formula>0</formula>
    </cfRule>
  </conditionalFormatting>
  <conditionalFormatting sqref="AK392">
    <cfRule type="notContainsBlanks" dxfId="1555" priority="2641">
      <formula>LEN(TRIM(AK392))&gt;0</formula>
    </cfRule>
  </conditionalFormatting>
  <conditionalFormatting sqref="AM392">
    <cfRule type="notContainsBlanks" dxfId="1554" priority="2640">
      <formula>LEN(TRIM(AM392))&gt;0</formula>
    </cfRule>
  </conditionalFormatting>
  <conditionalFormatting sqref="D392:AA392">
    <cfRule type="cellIs" dxfId="1553" priority="2639" operator="equal">
      <formula>0</formula>
    </cfRule>
  </conditionalFormatting>
  <conditionalFormatting sqref="AJ392">
    <cfRule type="cellIs" dxfId="1552" priority="2638" operator="equal">
      <formula>0</formula>
    </cfRule>
  </conditionalFormatting>
  <conditionalFormatting sqref="D392:AA392">
    <cfRule type="cellIs" dxfId="1551" priority="2637" operator="equal">
      <formula>0</formula>
    </cfRule>
  </conditionalFormatting>
  <conditionalFormatting sqref="AK393">
    <cfRule type="notContainsBlanks" dxfId="1550" priority="2635">
      <formula>LEN(TRIM(AK393))&gt;0</formula>
    </cfRule>
  </conditionalFormatting>
  <conditionalFormatting sqref="AM393">
    <cfRule type="notContainsBlanks" dxfId="1549" priority="2634">
      <formula>LEN(TRIM(AM393))&gt;0</formula>
    </cfRule>
  </conditionalFormatting>
  <conditionalFormatting sqref="AJ393:AJ398">
    <cfRule type="cellIs" dxfId="1548" priority="2633" operator="equal">
      <formula>0</formula>
    </cfRule>
  </conditionalFormatting>
  <conditionalFormatting sqref="AK398">
    <cfRule type="notContainsBlanks" dxfId="1547" priority="2625">
      <formula>LEN(TRIM(AK398))&gt;0</formula>
    </cfRule>
  </conditionalFormatting>
  <conditionalFormatting sqref="AM398">
    <cfRule type="notContainsBlanks" dxfId="1546" priority="2624">
      <formula>LEN(TRIM(AM398))&gt;0</formula>
    </cfRule>
  </conditionalFormatting>
  <conditionalFormatting sqref="AK397">
    <cfRule type="notContainsBlanks" dxfId="1545" priority="2628">
      <formula>LEN(TRIM(AK397))&gt;0</formula>
    </cfRule>
  </conditionalFormatting>
  <conditionalFormatting sqref="AM397">
    <cfRule type="notContainsBlanks" dxfId="1544" priority="2627">
      <formula>LEN(TRIM(AM397))&gt;0</formula>
    </cfRule>
  </conditionalFormatting>
  <conditionalFormatting sqref="D391:AG391 AJ391">
    <cfRule type="cellIs" dxfId="1543" priority="2597" operator="equal">
      <formula>0</formula>
    </cfRule>
  </conditionalFormatting>
  <conditionalFormatting sqref="D391:AG391 AJ391">
    <cfRule type="cellIs" dxfId="1542" priority="2596" operator="equal">
      <formula>0</formula>
    </cfRule>
  </conditionalFormatting>
  <conditionalFormatting sqref="D391:AG391 AJ391">
    <cfRule type="cellIs" dxfId="1541" priority="2595" operator="equal">
      <formula>0</formula>
    </cfRule>
  </conditionalFormatting>
  <conditionalFormatting sqref="AK8">
    <cfRule type="notContainsBlanks" dxfId="1540" priority="2588">
      <formula>LEN(TRIM(AK8))&gt;0</formula>
    </cfRule>
  </conditionalFormatting>
  <conditionalFormatting sqref="AK9">
    <cfRule type="notContainsBlanks" dxfId="1539" priority="2587">
      <formula>LEN(TRIM(AK9))&gt;0</formula>
    </cfRule>
  </conditionalFormatting>
  <conditionalFormatting sqref="J124:AA124">
    <cfRule type="expression" dxfId="1538" priority="2586">
      <formula>J127&gt;J124</formula>
    </cfRule>
  </conditionalFormatting>
  <conditionalFormatting sqref="J126:AA126">
    <cfRule type="expression" dxfId="1537" priority="2585">
      <formula>J126&gt;J125</formula>
    </cfRule>
  </conditionalFormatting>
  <conditionalFormatting sqref="J125:AA125">
    <cfRule type="expression" dxfId="1536" priority="2584">
      <formula>J126&gt;J125</formula>
    </cfRule>
  </conditionalFormatting>
  <conditionalFormatting sqref="AK125">
    <cfRule type="notContainsBlanks" dxfId="1535" priority="2583">
      <formula>LEN(TRIM(AK125))&gt;0</formula>
    </cfRule>
  </conditionalFormatting>
  <conditionalFormatting sqref="AK148">
    <cfRule type="notContainsBlanks" dxfId="1534" priority="2580">
      <formula>LEN(TRIM(AK148))&gt;0</formula>
    </cfRule>
  </conditionalFormatting>
  <conditionalFormatting sqref="J127:AA127">
    <cfRule type="expression" dxfId="1533" priority="2579">
      <formula>J128&gt;J127</formula>
    </cfRule>
  </conditionalFormatting>
  <conditionalFormatting sqref="D359:Y359 AB359:AG359 AJ359">
    <cfRule type="expression" dxfId="1532" priority="2578">
      <formula>D358&gt;D359</formula>
    </cfRule>
  </conditionalFormatting>
  <conditionalFormatting sqref="AK146:AK147">
    <cfRule type="notContainsBlanks" dxfId="1531" priority="2576">
      <formula>LEN(TRIM(AK146))&gt;0</formula>
    </cfRule>
  </conditionalFormatting>
  <conditionalFormatting sqref="J148:AA148 AJ359 AB359:AG365">
    <cfRule type="expression" dxfId="1530" priority="2572">
      <formula>J135&gt;J148</formula>
    </cfRule>
  </conditionalFormatting>
  <conditionalFormatting sqref="AK135">
    <cfRule type="notContainsBlanks" dxfId="1529" priority="2571">
      <formula>LEN(TRIM(AK135))&gt;0</formula>
    </cfRule>
  </conditionalFormatting>
  <conditionalFormatting sqref="J156:AA156">
    <cfRule type="expression" dxfId="1528" priority="2570">
      <formula>J156&gt;J155</formula>
    </cfRule>
  </conditionalFormatting>
  <conditionalFormatting sqref="J155:AA155">
    <cfRule type="expression" dxfId="1527" priority="2569">
      <formula>J156&gt;J155</formula>
    </cfRule>
  </conditionalFormatting>
  <conditionalFormatting sqref="J148:AA148">
    <cfRule type="expression" dxfId="1526" priority="2567">
      <formula>(J155+J156+J157)&gt;J148</formula>
    </cfRule>
  </conditionalFormatting>
  <conditionalFormatting sqref="J157:AA157 K158 M158 O158 Q158 S158 U158 W158 Y158 AA158">
    <cfRule type="expression" dxfId="1525" priority="2566">
      <formula>(J155+J156+J157)&gt;J148</formula>
    </cfRule>
  </conditionalFormatting>
  <conditionalFormatting sqref="D184:AA184 J434:AG434">
    <cfRule type="expression" dxfId="1524" priority="2565">
      <formula>D184&gt;D182</formula>
    </cfRule>
  </conditionalFormatting>
  <conditionalFormatting sqref="D185:AA185">
    <cfRule type="expression" dxfId="1523" priority="2564">
      <formula>D185&gt;D183</formula>
    </cfRule>
  </conditionalFormatting>
  <conditionalFormatting sqref="M292">
    <cfRule type="expression" dxfId="1522" priority="2559">
      <formula>(M293+M294)&gt;M292</formula>
    </cfRule>
  </conditionalFormatting>
  <conditionalFormatting sqref="O292">
    <cfRule type="expression" dxfId="1521" priority="2558">
      <formula>(O293+O294)&gt;O292</formula>
    </cfRule>
  </conditionalFormatting>
  <conditionalFormatting sqref="Q292">
    <cfRule type="expression" dxfId="1520" priority="2557">
      <formula>(Q293+Q294)&gt;Q292</formula>
    </cfRule>
  </conditionalFormatting>
  <conditionalFormatting sqref="U292">
    <cfRule type="expression" dxfId="1519" priority="2556">
      <formula>(U293+U294)&gt;U292</formula>
    </cfRule>
  </conditionalFormatting>
  <conditionalFormatting sqref="W292">
    <cfRule type="expression" dxfId="1518" priority="2555">
      <formula>(W293+W294)&gt;W292</formula>
    </cfRule>
  </conditionalFormatting>
  <conditionalFormatting sqref="Y292">
    <cfRule type="expression" dxfId="1517" priority="2554">
      <formula>(Y293+Y294)&gt;Y292</formula>
    </cfRule>
  </conditionalFormatting>
  <conditionalFormatting sqref="M293">
    <cfRule type="expression" dxfId="1516" priority="2551">
      <formula>M293&gt;M292</formula>
    </cfRule>
    <cfRule type="expression" dxfId="1515" priority="2552">
      <formula>M328&gt;M293</formula>
    </cfRule>
  </conditionalFormatting>
  <conditionalFormatting sqref="O293">
    <cfRule type="expression" dxfId="1514" priority="2549">
      <formula>O293&gt;O292</formula>
    </cfRule>
    <cfRule type="expression" dxfId="1513" priority="2550">
      <formula>O328&gt;O293</formula>
    </cfRule>
  </conditionalFormatting>
  <conditionalFormatting sqref="Q293">
    <cfRule type="expression" dxfId="1512" priority="2547">
      <formula>Q293&gt;Q292</formula>
    </cfRule>
    <cfRule type="expression" dxfId="1511" priority="2548">
      <formula>Q328&gt;Q293</formula>
    </cfRule>
  </conditionalFormatting>
  <conditionalFormatting sqref="S293">
    <cfRule type="expression" dxfId="1510" priority="2545">
      <formula>S293&gt;S292</formula>
    </cfRule>
    <cfRule type="expression" dxfId="1509" priority="2546">
      <formula>S328&gt;S293</formula>
    </cfRule>
  </conditionalFormatting>
  <conditionalFormatting sqref="U293">
    <cfRule type="expression" dxfId="1508" priority="2543">
      <formula>U293&gt;U292</formula>
    </cfRule>
    <cfRule type="expression" dxfId="1507" priority="2544">
      <formula>U328&gt;U293</formula>
    </cfRule>
  </conditionalFormatting>
  <conditionalFormatting sqref="W293">
    <cfRule type="expression" dxfId="1506" priority="2541">
      <formula>W293&gt;W292</formula>
    </cfRule>
    <cfRule type="expression" dxfId="1505" priority="2542">
      <formula>W328&gt;W293</formula>
    </cfRule>
  </conditionalFormatting>
  <conditionalFormatting sqref="Y293">
    <cfRule type="expression" dxfId="1504" priority="2539">
      <formula>Y293&gt;Y292</formula>
    </cfRule>
    <cfRule type="expression" dxfId="1503" priority="2540">
      <formula>Y328&gt;Y293</formula>
    </cfRule>
  </conditionalFormatting>
  <conditionalFormatting sqref="K295">
    <cfRule type="expression" dxfId="1502" priority="2538">
      <formula>K295&gt;K294</formula>
    </cfRule>
  </conditionalFormatting>
  <conditionalFormatting sqref="M295">
    <cfRule type="expression" dxfId="1501" priority="2537">
      <formula>M295&gt;M294</formula>
    </cfRule>
  </conditionalFormatting>
  <conditionalFormatting sqref="O295">
    <cfRule type="expression" dxfId="1500" priority="2536">
      <formula>O295&gt;O294</formula>
    </cfRule>
  </conditionalFormatting>
  <conditionalFormatting sqref="Q295">
    <cfRule type="expression" dxfId="1499" priority="2535">
      <formula>Q295&gt;Q294</formula>
    </cfRule>
  </conditionalFormatting>
  <conditionalFormatting sqref="S295">
    <cfRule type="expression" dxfId="1498" priority="2534">
      <formula>S295&gt;S294</formula>
    </cfRule>
  </conditionalFormatting>
  <conditionalFormatting sqref="U295">
    <cfRule type="expression" dxfId="1497" priority="2533">
      <formula>U295&gt;U294</formula>
    </cfRule>
  </conditionalFormatting>
  <conditionalFormatting sqref="W295">
    <cfRule type="expression" dxfId="1496" priority="2532">
      <formula>W295&gt;W294</formula>
    </cfRule>
  </conditionalFormatting>
  <conditionalFormatting sqref="Y295">
    <cfRule type="expression" dxfId="1495" priority="2531">
      <formula>Y295&gt;Y294</formula>
    </cfRule>
  </conditionalFormatting>
  <conditionalFormatting sqref="K299">
    <cfRule type="expression" dxfId="1494" priority="2359">
      <formula>K331&lt;&gt;K299</formula>
    </cfRule>
    <cfRule type="expression" dxfId="1493" priority="2530">
      <formula>K299&gt;K298</formula>
    </cfRule>
  </conditionalFormatting>
  <conditionalFormatting sqref="M299">
    <cfRule type="expression" dxfId="1492" priority="2529">
      <formula>M299&gt;M298</formula>
    </cfRule>
  </conditionalFormatting>
  <conditionalFormatting sqref="O299">
    <cfRule type="expression" dxfId="1491" priority="2528">
      <formula>O299&gt;O298</formula>
    </cfRule>
  </conditionalFormatting>
  <conditionalFormatting sqref="Q299">
    <cfRule type="expression" dxfId="1490" priority="2527">
      <formula>Q299&gt;Q298</formula>
    </cfRule>
  </conditionalFormatting>
  <conditionalFormatting sqref="S299">
    <cfRule type="expression" dxfId="1489" priority="2526">
      <formula>S299&gt;S298</formula>
    </cfRule>
  </conditionalFormatting>
  <conditionalFormatting sqref="U299">
    <cfRule type="expression" dxfId="1488" priority="2525">
      <formula>U299&gt;U298</formula>
    </cfRule>
  </conditionalFormatting>
  <conditionalFormatting sqref="W299">
    <cfRule type="expression" dxfId="1487" priority="2524">
      <formula>W299&gt;W298</formula>
    </cfRule>
  </conditionalFormatting>
  <conditionalFormatting sqref="Y299">
    <cfRule type="expression" dxfId="1486" priority="2523">
      <formula>Y299&gt;Y298</formula>
    </cfRule>
  </conditionalFormatting>
  <conditionalFormatting sqref="AK300">
    <cfRule type="notContainsBlanks" dxfId="1485" priority="2522">
      <formula>LEN(TRIM(AK300))&gt;0</formula>
    </cfRule>
  </conditionalFormatting>
  <conditionalFormatting sqref="K300">
    <cfRule type="expression" dxfId="1484" priority="2521">
      <formula>K301&gt;K300</formula>
    </cfRule>
  </conditionalFormatting>
  <conditionalFormatting sqref="K301">
    <cfRule type="expression" dxfId="1483" priority="2300">
      <formula>K332&lt;&gt;K301</formula>
    </cfRule>
    <cfRule type="expression" dxfId="1482" priority="2520">
      <formula>K301&gt;K300</formula>
    </cfRule>
  </conditionalFormatting>
  <conditionalFormatting sqref="M300">
    <cfRule type="expression" dxfId="1481" priority="2519">
      <formula>M301&gt;M300</formula>
    </cfRule>
  </conditionalFormatting>
  <conditionalFormatting sqref="M301">
    <cfRule type="expression" dxfId="1480" priority="2518">
      <formula>M301&gt;M300</formula>
    </cfRule>
  </conditionalFormatting>
  <conditionalFormatting sqref="O300">
    <cfRule type="expression" dxfId="1479" priority="2517">
      <formula>O301&gt;O300</formula>
    </cfRule>
  </conditionalFormatting>
  <conditionalFormatting sqref="O301">
    <cfRule type="expression" dxfId="1478" priority="2516">
      <formula>O301&gt;O300</formula>
    </cfRule>
  </conditionalFormatting>
  <conditionalFormatting sqref="Q300">
    <cfRule type="expression" dxfId="1477" priority="2515">
      <formula>Q301&gt;Q300</formula>
    </cfRule>
  </conditionalFormatting>
  <conditionalFormatting sqref="Q301">
    <cfRule type="expression" dxfId="1476" priority="2514">
      <formula>Q301&gt;Q300</formula>
    </cfRule>
  </conditionalFormatting>
  <conditionalFormatting sqref="S300">
    <cfRule type="expression" dxfId="1475" priority="2513">
      <formula>S301&gt;S300</formula>
    </cfRule>
  </conditionalFormatting>
  <conditionalFormatting sqref="S301">
    <cfRule type="expression" dxfId="1474" priority="2512">
      <formula>S301&gt;S300</formula>
    </cfRule>
  </conditionalFormatting>
  <conditionalFormatting sqref="U300">
    <cfRule type="expression" dxfId="1473" priority="2511">
      <formula>U301&gt;U300</formula>
    </cfRule>
  </conditionalFormatting>
  <conditionalFormatting sqref="U301">
    <cfRule type="expression" dxfId="1472" priority="2510">
      <formula>U301&gt;U300</formula>
    </cfRule>
  </conditionalFormatting>
  <conditionalFormatting sqref="W300">
    <cfRule type="expression" dxfId="1471" priority="2509">
      <formula>W301&gt;W300</formula>
    </cfRule>
  </conditionalFormatting>
  <conditionalFormatting sqref="W301">
    <cfRule type="expression" dxfId="1470" priority="2508">
      <formula>W301&gt;W300</formula>
    </cfRule>
  </conditionalFormatting>
  <conditionalFormatting sqref="Y300">
    <cfRule type="expression" dxfId="1469" priority="2507">
      <formula>Y301&gt;Y300</formula>
    </cfRule>
  </conditionalFormatting>
  <conditionalFormatting sqref="Y301">
    <cfRule type="expression" dxfId="1468" priority="2506">
      <formula>Y301&gt;Y300</formula>
    </cfRule>
  </conditionalFormatting>
  <conditionalFormatting sqref="AK304">
    <cfRule type="notContainsBlanks" dxfId="1467" priority="2505">
      <formula>LEN(TRIM(AK304))&gt;0</formula>
    </cfRule>
  </conditionalFormatting>
  <conditionalFormatting sqref="K305">
    <cfRule type="expression" dxfId="1466" priority="2504">
      <formula>K305&gt;K304</formula>
    </cfRule>
  </conditionalFormatting>
  <conditionalFormatting sqref="M305">
    <cfRule type="expression" dxfId="1465" priority="2502">
      <formula>M305&gt;M304</formula>
    </cfRule>
  </conditionalFormatting>
  <conditionalFormatting sqref="M304">
    <cfRule type="expression" dxfId="1464" priority="2501">
      <formula>M305&gt;M304</formula>
    </cfRule>
  </conditionalFormatting>
  <conditionalFormatting sqref="O305">
    <cfRule type="expression" dxfId="1463" priority="2500">
      <formula>O305&gt;O304</formula>
    </cfRule>
  </conditionalFormatting>
  <conditionalFormatting sqref="O304">
    <cfRule type="expression" dxfId="1462" priority="2499">
      <formula>O305&gt;O304</formula>
    </cfRule>
  </conditionalFormatting>
  <conditionalFormatting sqref="Q305">
    <cfRule type="expression" dxfId="1461" priority="2498">
      <formula>Q305&gt;Q304</formula>
    </cfRule>
  </conditionalFormatting>
  <conditionalFormatting sqref="Q304">
    <cfRule type="expression" dxfId="1460" priority="2497">
      <formula>Q305&gt;Q304</formula>
    </cfRule>
  </conditionalFormatting>
  <conditionalFormatting sqref="S305">
    <cfRule type="expression" dxfId="1459" priority="2496">
      <formula>S305&gt;S304</formula>
    </cfRule>
  </conditionalFormatting>
  <conditionalFormatting sqref="S304">
    <cfRule type="expression" dxfId="1458" priority="2495">
      <formula>S305&gt;S304</formula>
    </cfRule>
  </conditionalFormatting>
  <conditionalFormatting sqref="U305">
    <cfRule type="expression" dxfId="1457" priority="2494">
      <formula>U305&gt;U304</formula>
    </cfRule>
  </conditionalFormatting>
  <conditionalFormatting sqref="U304">
    <cfRule type="expression" dxfId="1456" priority="2493">
      <formula>U305&gt;U304</formula>
    </cfRule>
  </conditionalFormatting>
  <conditionalFormatting sqref="W305">
    <cfRule type="expression" dxfId="1455" priority="2492">
      <formula>W305&gt;W304</formula>
    </cfRule>
  </conditionalFormatting>
  <conditionalFormatting sqref="W304">
    <cfRule type="expression" dxfId="1454" priority="2491">
      <formula>W305&gt;W304</formula>
    </cfRule>
  </conditionalFormatting>
  <conditionalFormatting sqref="Y305">
    <cfRule type="expression" dxfId="1453" priority="2490">
      <formula>Y305&gt;Y304</formula>
    </cfRule>
  </conditionalFormatting>
  <conditionalFormatting sqref="Y304">
    <cfRule type="expression" dxfId="1452" priority="2489">
      <formula>Y305&gt;Y304</formula>
    </cfRule>
  </conditionalFormatting>
  <conditionalFormatting sqref="Q306">
    <cfRule type="expression" dxfId="1451" priority="2487">
      <formula>Q307&gt;Q306</formula>
    </cfRule>
  </conditionalFormatting>
  <conditionalFormatting sqref="Q306">
    <cfRule type="expression" dxfId="1450" priority="2486">
      <formula>Q307&gt;Q306</formula>
    </cfRule>
  </conditionalFormatting>
  <conditionalFormatting sqref="S306">
    <cfRule type="expression" dxfId="1449" priority="2485">
      <formula>S307&gt;S306</formula>
    </cfRule>
  </conditionalFormatting>
  <conditionalFormatting sqref="S306">
    <cfRule type="expression" dxfId="1448" priority="2484">
      <formula>S307&gt;S306</formula>
    </cfRule>
  </conditionalFormatting>
  <conditionalFormatting sqref="U306">
    <cfRule type="expression" dxfId="1447" priority="2483">
      <formula>U307&gt;U306</formula>
    </cfRule>
  </conditionalFormatting>
  <conditionalFormatting sqref="U306">
    <cfRule type="expression" dxfId="1446" priority="2482">
      <formula>U307&gt;U306</formula>
    </cfRule>
  </conditionalFormatting>
  <conditionalFormatting sqref="W306">
    <cfRule type="expression" dxfId="1445" priority="2481">
      <formula>W307&gt;W306</formula>
    </cfRule>
  </conditionalFormatting>
  <conditionalFormatting sqref="W306">
    <cfRule type="expression" dxfId="1444" priority="2480">
      <formula>W307&gt;W306</formula>
    </cfRule>
  </conditionalFormatting>
  <conditionalFormatting sqref="Y306">
    <cfRule type="expression" dxfId="1443" priority="2479">
      <formula>Y307&gt;Y306</formula>
    </cfRule>
  </conditionalFormatting>
  <conditionalFormatting sqref="Y306">
    <cfRule type="expression" dxfId="1442" priority="2478">
      <formula>Y307&gt;Y306</formula>
    </cfRule>
  </conditionalFormatting>
  <conditionalFormatting sqref="K307">
    <cfRule type="expression" dxfId="1441" priority="2477">
      <formula>K335&gt;K307</formula>
    </cfRule>
  </conditionalFormatting>
  <conditionalFormatting sqref="K307">
    <cfRule type="expression" dxfId="1440" priority="2476">
      <formula>K307&gt;K306</formula>
    </cfRule>
  </conditionalFormatting>
  <conditionalFormatting sqref="K308">
    <cfRule type="expression" dxfId="1439" priority="2468">
      <formula>K309&gt;K308</formula>
    </cfRule>
  </conditionalFormatting>
  <conditionalFormatting sqref="M308">
    <cfRule type="expression" dxfId="1438" priority="2464">
      <formula>M309&gt;M308</formula>
    </cfRule>
  </conditionalFormatting>
  <conditionalFormatting sqref="O308">
    <cfRule type="expression" dxfId="1437" priority="2460">
      <formula>O309&gt;O308</formula>
    </cfRule>
  </conditionalFormatting>
  <conditionalFormatting sqref="Q308">
    <cfRule type="expression" dxfId="1436" priority="2456">
      <formula>Q309&gt;Q308</formula>
    </cfRule>
  </conditionalFormatting>
  <conditionalFormatting sqref="S308">
    <cfRule type="expression" dxfId="1435" priority="2452">
      <formula>S309&gt;S308</formula>
    </cfRule>
  </conditionalFormatting>
  <conditionalFormatting sqref="U308">
    <cfRule type="expression" dxfId="1434" priority="2448">
      <formula>U309&gt;U308</formula>
    </cfRule>
  </conditionalFormatting>
  <conditionalFormatting sqref="W308">
    <cfRule type="expression" dxfId="1433" priority="2444">
      <formula>W309&gt;W308</formula>
    </cfRule>
  </conditionalFormatting>
  <conditionalFormatting sqref="Y308">
    <cfRule type="expression" dxfId="1432" priority="2440">
      <formula>Y309&gt;Y308</formula>
    </cfRule>
  </conditionalFormatting>
  <conditionalFormatting sqref="K310">
    <cfRule type="expression" dxfId="1431" priority="2436">
      <formula>K311&gt;K310</formula>
    </cfRule>
  </conditionalFormatting>
  <conditionalFormatting sqref="M310">
    <cfRule type="expression" dxfId="1430" priority="2432">
      <formula>M311&gt;M310</formula>
    </cfRule>
  </conditionalFormatting>
  <conditionalFormatting sqref="O310">
    <cfRule type="expression" dxfId="1429" priority="2428">
      <formula>O311&gt;O310</formula>
    </cfRule>
  </conditionalFormatting>
  <conditionalFormatting sqref="Q310">
    <cfRule type="expression" dxfId="1428" priority="2424">
      <formula>Q311&gt;Q310</formula>
    </cfRule>
  </conditionalFormatting>
  <conditionalFormatting sqref="Q311">
    <cfRule type="expression" dxfId="1427" priority="2422">
      <formula>Q311&gt;Q310</formula>
    </cfRule>
  </conditionalFormatting>
  <conditionalFormatting sqref="AK308">
    <cfRule type="notContainsBlanks" dxfId="1426" priority="2405">
      <formula>LEN(TRIM(AK308))&gt;0</formula>
    </cfRule>
  </conditionalFormatting>
  <conditionalFormatting sqref="AK310">
    <cfRule type="notContainsBlanks" dxfId="1425" priority="2404">
      <formula>LEN(TRIM(AK310))&gt;0</formula>
    </cfRule>
  </conditionalFormatting>
  <conditionalFormatting sqref="D316:E317">
    <cfRule type="cellIs" dxfId="1424" priority="2403" operator="equal">
      <formula>0</formula>
    </cfRule>
  </conditionalFormatting>
  <conditionalFormatting sqref="D318:E318">
    <cfRule type="expression" dxfId="1423" priority="2385">
      <formula>D321&gt;D318</formula>
    </cfRule>
    <cfRule type="cellIs" dxfId="1422" priority="2400" operator="equal">
      <formula>0</formula>
    </cfRule>
  </conditionalFormatting>
  <conditionalFormatting sqref="D319:E320">
    <cfRule type="cellIs" dxfId="1421" priority="2399" operator="equal">
      <formula>0</formula>
    </cfRule>
  </conditionalFormatting>
  <conditionalFormatting sqref="D321:E321">
    <cfRule type="expression" dxfId="1420" priority="2386">
      <formula>D321&gt;D318</formula>
    </cfRule>
    <cfRule type="cellIs" dxfId="1419" priority="2396" operator="equal">
      <formula>0</formula>
    </cfRule>
  </conditionalFormatting>
  <conditionalFormatting sqref="D324:E324">
    <cfRule type="expression" dxfId="1418" priority="1802">
      <formula>D322&lt;&gt;D346</formula>
    </cfRule>
    <cfRule type="cellIs" dxfId="1417" priority="2393" operator="equal">
      <formula>0</formula>
    </cfRule>
  </conditionalFormatting>
  <conditionalFormatting sqref="D316:E317">
    <cfRule type="expression" dxfId="1416" priority="2391">
      <formula>D319&gt;D316</formula>
    </cfRule>
  </conditionalFormatting>
  <conditionalFormatting sqref="D319:E320">
    <cfRule type="expression" dxfId="1415" priority="2390">
      <formula>D319&gt;D316</formula>
    </cfRule>
  </conditionalFormatting>
  <conditionalFormatting sqref="D322:E323">
    <cfRule type="cellIs" dxfId="1414" priority="2389" operator="equal">
      <formula>0</formula>
    </cfRule>
  </conditionalFormatting>
  <conditionalFormatting sqref="D322:E323">
    <cfRule type="expression" dxfId="1413" priority="2388">
      <formula>D322&gt;D319</formula>
    </cfRule>
  </conditionalFormatting>
  <conditionalFormatting sqref="AM319:AM321">
    <cfRule type="notContainsBlanks" dxfId="1412" priority="3238">
      <formula>LEN(TRIM(AM319))&gt;0</formula>
    </cfRule>
  </conditionalFormatting>
  <conditionalFormatting sqref="D322:E323">
    <cfRule type="expression" dxfId="1411" priority="2384">
      <formula>D319&gt;D322</formula>
    </cfRule>
  </conditionalFormatting>
  <conditionalFormatting sqref="D319:E320">
    <cfRule type="expression" dxfId="1410" priority="2383">
      <formula>D319&gt;D322</formula>
    </cfRule>
  </conditionalFormatting>
  <conditionalFormatting sqref="K328">
    <cfRule type="expression" dxfId="1409" priority="2382">
      <formula>K328&gt;K293</formula>
    </cfRule>
  </conditionalFormatting>
  <conditionalFormatting sqref="M328">
    <cfRule type="expression" dxfId="1408" priority="2381">
      <formula>M328&gt;M293</formula>
    </cfRule>
  </conditionalFormatting>
  <conditionalFormatting sqref="O328">
    <cfRule type="expression" dxfId="1407" priority="2380">
      <formula>O328&gt;O293</formula>
    </cfRule>
  </conditionalFormatting>
  <conditionalFormatting sqref="Q328">
    <cfRule type="expression" dxfId="1406" priority="2379">
      <formula>Q328&gt;Q293</formula>
    </cfRule>
  </conditionalFormatting>
  <conditionalFormatting sqref="S328">
    <cfRule type="expression" dxfId="1405" priority="2378">
      <formula>S328&gt;S293</formula>
    </cfRule>
  </conditionalFormatting>
  <conditionalFormatting sqref="U328">
    <cfRule type="expression" dxfId="1404" priority="2377">
      <formula>U328&gt;U293</formula>
    </cfRule>
  </conditionalFormatting>
  <conditionalFormatting sqref="W328">
    <cfRule type="expression" dxfId="1403" priority="2376">
      <formula>W328&gt;W293</formula>
    </cfRule>
  </conditionalFormatting>
  <conditionalFormatting sqref="Y328">
    <cfRule type="expression" dxfId="1402" priority="2375">
      <formula>Y328&gt;Y293</formula>
    </cfRule>
  </conditionalFormatting>
  <conditionalFormatting sqref="K331">
    <cfRule type="expression" dxfId="1401" priority="2360">
      <formula>K331&lt;&gt;K299</formula>
    </cfRule>
  </conditionalFormatting>
  <conditionalFormatting sqref="M299">
    <cfRule type="expression" dxfId="1400" priority="2357">
      <formula>M331&lt;&gt;M299</formula>
    </cfRule>
    <cfRule type="expression" dxfId="1399" priority="2358">
      <formula>M299&gt;M298</formula>
    </cfRule>
  </conditionalFormatting>
  <conditionalFormatting sqref="O299">
    <cfRule type="expression" dxfId="1398" priority="2355">
      <formula>O331&lt;&gt;O299</formula>
    </cfRule>
    <cfRule type="expression" dxfId="1397" priority="2356">
      <formula>O299&gt;O298</formula>
    </cfRule>
  </conditionalFormatting>
  <conditionalFormatting sqref="Q299">
    <cfRule type="expression" dxfId="1396" priority="2353">
      <formula>Q331&lt;&gt;Q299</formula>
    </cfRule>
    <cfRule type="expression" dxfId="1395" priority="2354">
      <formula>Q299&gt;Q298</formula>
    </cfRule>
  </conditionalFormatting>
  <conditionalFormatting sqref="S299">
    <cfRule type="expression" dxfId="1394" priority="2351">
      <formula>S331&lt;&gt;S299</formula>
    </cfRule>
    <cfRule type="expression" dxfId="1393" priority="2352">
      <formula>S299&gt;S298</formula>
    </cfRule>
  </conditionalFormatting>
  <conditionalFormatting sqref="U299">
    <cfRule type="expression" dxfId="1392" priority="2349">
      <formula>U331&lt;&gt;U299</formula>
    </cfRule>
    <cfRule type="expression" dxfId="1391" priority="2350">
      <formula>U299&gt;U298</formula>
    </cfRule>
  </conditionalFormatting>
  <conditionalFormatting sqref="W299">
    <cfRule type="expression" dxfId="1390" priority="2347">
      <formula>W331&lt;&gt;W299</formula>
    </cfRule>
    <cfRule type="expression" dxfId="1389" priority="2348">
      <formula>W299&gt;W298</formula>
    </cfRule>
  </conditionalFormatting>
  <conditionalFormatting sqref="Y299">
    <cfRule type="expression" dxfId="1388" priority="2345">
      <formula>Y331&lt;&gt;Y299</formula>
    </cfRule>
    <cfRule type="expression" dxfId="1387" priority="2346">
      <formula>Y299&gt;Y298</formula>
    </cfRule>
  </conditionalFormatting>
  <conditionalFormatting sqref="M331">
    <cfRule type="cellIs" dxfId="1386" priority="2344" operator="equal">
      <formula>0</formula>
    </cfRule>
  </conditionalFormatting>
  <conditionalFormatting sqref="M331">
    <cfRule type="expression" dxfId="1385" priority="2343">
      <formula>M331&lt;&gt;M299</formula>
    </cfRule>
  </conditionalFormatting>
  <conditionalFormatting sqref="O331">
    <cfRule type="cellIs" dxfId="1384" priority="2342" operator="equal">
      <formula>0</formula>
    </cfRule>
  </conditionalFormatting>
  <conditionalFormatting sqref="O331">
    <cfRule type="expression" dxfId="1383" priority="2341">
      <formula>O331&lt;&gt;O299</formula>
    </cfRule>
  </conditionalFormatting>
  <conditionalFormatting sqref="Q331">
    <cfRule type="cellIs" dxfId="1382" priority="2340" operator="equal">
      <formula>0</formula>
    </cfRule>
  </conditionalFormatting>
  <conditionalFormatting sqref="Q331">
    <cfRule type="expression" dxfId="1381" priority="2339">
      <formula>Q331&lt;&gt;Q299</formula>
    </cfRule>
  </conditionalFormatting>
  <conditionalFormatting sqref="S331">
    <cfRule type="cellIs" dxfId="1380" priority="2338" operator="equal">
      <formula>0</formula>
    </cfRule>
  </conditionalFormatting>
  <conditionalFormatting sqref="S331">
    <cfRule type="expression" dxfId="1379" priority="2337">
      <formula>S331&lt;&gt;S299</formula>
    </cfRule>
  </conditionalFormatting>
  <conditionalFormatting sqref="U331">
    <cfRule type="cellIs" dxfId="1378" priority="2336" operator="equal">
      <formula>0</formula>
    </cfRule>
  </conditionalFormatting>
  <conditionalFormatting sqref="U331">
    <cfRule type="expression" dxfId="1377" priority="2335">
      <formula>U331&lt;&gt;U299</formula>
    </cfRule>
  </conditionalFormatting>
  <conditionalFormatting sqref="W331">
    <cfRule type="cellIs" dxfId="1376" priority="2334" operator="equal">
      <formula>0</formula>
    </cfRule>
  </conditionalFormatting>
  <conditionalFormatting sqref="W331">
    <cfRule type="expression" dxfId="1375" priority="2333">
      <formula>W331&lt;&gt;W299</formula>
    </cfRule>
  </conditionalFormatting>
  <conditionalFormatting sqref="Y331">
    <cfRule type="cellIs" dxfId="1374" priority="2332" operator="equal">
      <formula>0</formula>
    </cfRule>
  </conditionalFormatting>
  <conditionalFormatting sqref="Y331">
    <cfRule type="expression" dxfId="1373" priority="2331">
      <formula>Y331&lt;&gt;Y299</formula>
    </cfRule>
  </conditionalFormatting>
  <conditionalFormatting sqref="K332">
    <cfRule type="expression" dxfId="1372" priority="2330">
      <formula>K332&lt;&gt;K301</formula>
    </cfRule>
  </conditionalFormatting>
  <conditionalFormatting sqref="M300">
    <cfRule type="expression" dxfId="1371" priority="2328">
      <formula>M301&gt;M300</formula>
    </cfRule>
  </conditionalFormatting>
  <conditionalFormatting sqref="O300">
    <cfRule type="expression" dxfId="1370" priority="2326">
      <formula>O301&gt;O300</formula>
    </cfRule>
  </conditionalFormatting>
  <conditionalFormatting sqref="Q300">
    <cfRule type="expression" dxfId="1369" priority="2324">
      <formula>Q301&gt;Q300</formula>
    </cfRule>
  </conditionalFormatting>
  <conditionalFormatting sqref="S300">
    <cfRule type="expression" dxfId="1368" priority="2322">
      <formula>S301&gt;S300</formula>
    </cfRule>
  </conditionalFormatting>
  <conditionalFormatting sqref="U300">
    <cfRule type="expression" dxfId="1367" priority="2320">
      <formula>U301&gt;U300</formula>
    </cfRule>
  </conditionalFormatting>
  <conditionalFormatting sqref="W300">
    <cfRule type="expression" dxfId="1366" priority="2318">
      <formula>W301&gt;W300</formula>
    </cfRule>
  </conditionalFormatting>
  <conditionalFormatting sqref="Y300">
    <cfRule type="expression" dxfId="1365" priority="2316">
      <formula>Y301&gt;Y300</formula>
    </cfRule>
  </conditionalFormatting>
  <conditionalFormatting sqref="M332">
    <cfRule type="cellIs" dxfId="1364" priority="2314" operator="equal">
      <formula>0</formula>
    </cfRule>
  </conditionalFormatting>
  <conditionalFormatting sqref="M332">
    <cfRule type="expression" dxfId="1363" priority="2313">
      <formula>M332&lt;&gt;M301</formula>
    </cfRule>
  </conditionalFormatting>
  <conditionalFormatting sqref="O332">
    <cfRule type="cellIs" dxfId="1362" priority="2312" operator="equal">
      <formula>0</formula>
    </cfRule>
  </conditionalFormatting>
  <conditionalFormatting sqref="O332">
    <cfRule type="expression" dxfId="1361" priority="2311">
      <formula>O332&lt;&gt;O301</formula>
    </cfRule>
  </conditionalFormatting>
  <conditionalFormatting sqref="Q332">
    <cfRule type="cellIs" dxfId="1360" priority="2310" operator="equal">
      <formula>0</formula>
    </cfRule>
  </conditionalFormatting>
  <conditionalFormatting sqref="Q332">
    <cfRule type="expression" dxfId="1359" priority="2309">
      <formula>Q332&lt;&gt;Q301</formula>
    </cfRule>
  </conditionalFormatting>
  <conditionalFormatting sqref="S332">
    <cfRule type="cellIs" dxfId="1358" priority="2308" operator="equal">
      <formula>0</formula>
    </cfRule>
  </conditionalFormatting>
  <conditionalFormatting sqref="S332">
    <cfRule type="expression" dxfId="1357" priority="2307">
      <formula>S332&lt;&gt;S301</formula>
    </cfRule>
  </conditionalFormatting>
  <conditionalFormatting sqref="U332">
    <cfRule type="cellIs" dxfId="1356" priority="2306" operator="equal">
      <formula>0</formula>
    </cfRule>
  </conditionalFormatting>
  <conditionalFormatting sqref="U332">
    <cfRule type="expression" dxfId="1355" priority="2305">
      <formula>U332&lt;&gt;U301</formula>
    </cfRule>
  </conditionalFormatting>
  <conditionalFormatting sqref="W332">
    <cfRule type="cellIs" dxfId="1354" priority="2304" operator="equal">
      <formula>0</formula>
    </cfRule>
  </conditionalFormatting>
  <conditionalFormatting sqref="W332">
    <cfRule type="expression" dxfId="1353" priority="2303">
      <formula>W332&lt;&gt;W301</formula>
    </cfRule>
  </conditionalFormatting>
  <conditionalFormatting sqref="Y332">
    <cfRule type="cellIs" dxfId="1352" priority="2302" operator="equal">
      <formula>0</formula>
    </cfRule>
  </conditionalFormatting>
  <conditionalFormatting sqref="Y332">
    <cfRule type="expression" dxfId="1351" priority="2301">
      <formula>Y332&lt;&gt;Y301</formula>
    </cfRule>
  </conditionalFormatting>
  <conditionalFormatting sqref="M301">
    <cfRule type="expression" dxfId="1350" priority="2298">
      <formula>M332&lt;&gt;M301</formula>
    </cfRule>
    <cfRule type="expression" dxfId="1349" priority="2299">
      <formula>M301&gt;M300</formula>
    </cfRule>
  </conditionalFormatting>
  <conditionalFormatting sqref="O301">
    <cfRule type="expression" dxfId="1348" priority="2296">
      <formula>O332&lt;&gt;O301</formula>
    </cfRule>
    <cfRule type="expression" dxfId="1347" priority="2297">
      <formula>O301&gt;O300</formula>
    </cfRule>
  </conditionalFormatting>
  <conditionalFormatting sqref="Q301">
    <cfRule type="expression" dxfId="1346" priority="2294">
      <formula>Q332&lt;&gt;Q301</formula>
    </cfRule>
    <cfRule type="expression" dxfId="1345" priority="2295">
      <formula>Q301&gt;Q300</formula>
    </cfRule>
  </conditionalFormatting>
  <conditionalFormatting sqref="S301">
    <cfRule type="expression" dxfId="1344" priority="2292">
      <formula>S332&lt;&gt;S301</formula>
    </cfRule>
    <cfRule type="expression" dxfId="1343" priority="2293">
      <formula>S301&gt;S300</formula>
    </cfRule>
  </conditionalFormatting>
  <conditionalFormatting sqref="U301">
    <cfRule type="expression" dxfId="1342" priority="2290">
      <formula>U332&lt;&gt;U301</formula>
    </cfRule>
    <cfRule type="expression" dxfId="1341" priority="2291">
      <formula>U301&gt;U300</formula>
    </cfRule>
  </conditionalFormatting>
  <conditionalFormatting sqref="W301">
    <cfRule type="expression" dxfId="1340" priority="2288">
      <formula>W332&lt;&gt;W301</formula>
    </cfRule>
    <cfRule type="expression" dxfId="1339" priority="2289">
      <formula>W301&gt;W300</formula>
    </cfRule>
  </conditionalFormatting>
  <conditionalFormatting sqref="Y301">
    <cfRule type="expression" dxfId="1338" priority="2286">
      <formula>Y332&lt;&gt;Y301</formula>
    </cfRule>
    <cfRule type="expression" dxfId="1337" priority="2287">
      <formula>Y301&gt;Y300</formula>
    </cfRule>
  </conditionalFormatting>
  <conditionalFormatting sqref="O336">
    <cfRule type="expression" dxfId="1336" priority="2285">
      <formula>O336&gt;O309</formula>
    </cfRule>
  </conditionalFormatting>
  <conditionalFormatting sqref="Q336">
    <cfRule type="expression" dxfId="1335" priority="2284">
      <formula>Q336&gt;Q309</formula>
    </cfRule>
  </conditionalFormatting>
  <conditionalFormatting sqref="S336">
    <cfRule type="expression" dxfId="1334" priority="2283">
      <formula>S336&gt;S309</formula>
    </cfRule>
  </conditionalFormatting>
  <conditionalFormatting sqref="U336">
    <cfRule type="expression" dxfId="1333" priority="2282">
      <formula>U336&gt;U309</formula>
    </cfRule>
  </conditionalFormatting>
  <conditionalFormatting sqref="W336">
    <cfRule type="expression" dxfId="1332" priority="2281">
      <formula>W336&gt;W309</formula>
    </cfRule>
  </conditionalFormatting>
  <conditionalFormatting sqref="Y336">
    <cfRule type="expression" dxfId="1331" priority="2280">
      <formula>Y336&gt;Y309</formula>
    </cfRule>
  </conditionalFormatting>
  <conditionalFormatting sqref="M336">
    <cfRule type="expression" dxfId="1330" priority="2279">
      <formula>M336&gt;M309</formula>
    </cfRule>
  </conditionalFormatting>
  <conditionalFormatting sqref="K336">
    <cfRule type="expression" dxfId="1329" priority="2278">
      <formula>K336&gt;K309</formula>
    </cfRule>
  </conditionalFormatting>
  <conditionalFormatting sqref="K309 M309 O309 Q309 S309 U309 W309 Y309">
    <cfRule type="expression" dxfId="1328" priority="2273">
      <formula>K336&gt;K309</formula>
    </cfRule>
  </conditionalFormatting>
  <conditionalFormatting sqref="K309 M309 O309 Q309 S309 U309 W309 Y309">
    <cfRule type="expression" dxfId="1327" priority="2274">
      <formula>K309&gt;K308</formula>
    </cfRule>
  </conditionalFormatting>
  <conditionalFormatting sqref="K337">
    <cfRule type="expression" dxfId="1326" priority="2240">
      <formula>K337&gt;K311</formula>
    </cfRule>
  </conditionalFormatting>
  <conditionalFormatting sqref="Q311">
    <cfRule type="expression" dxfId="1325" priority="2227">
      <formula>Q337&gt;Q311</formula>
    </cfRule>
  </conditionalFormatting>
  <conditionalFormatting sqref="Q311">
    <cfRule type="expression" dxfId="1324" priority="2228">
      <formula>Q311&gt;Q310</formula>
    </cfRule>
  </conditionalFormatting>
  <conditionalFormatting sqref="M337">
    <cfRule type="expression" dxfId="1323" priority="2210">
      <formula>M337&gt;M311</formula>
    </cfRule>
  </conditionalFormatting>
  <conditionalFormatting sqref="O337">
    <cfRule type="expression" dxfId="1322" priority="2209">
      <formula>O337&gt;O311</formula>
    </cfRule>
  </conditionalFormatting>
  <conditionalFormatting sqref="Q337">
    <cfRule type="expression" dxfId="1321" priority="2208">
      <formula>Q337&gt;Q311</formula>
    </cfRule>
  </conditionalFormatting>
  <conditionalFormatting sqref="S337">
    <cfRule type="expression" dxfId="1320" priority="2207">
      <formula>S337&gt;S311</formula>
    </cfRule>
  </conditionalFormatting>
  <conditionalFormatting sqref="U337">
    <cfRule type="expression" dxfId="1319" priority="2206">
      <formula>U337&gt;U311</formula>
    </cfRule>
  </conditionalFormatting>
  <conditionalFormatting sqref="W337">
    <cfRule type="expression" dxfId="1318" priority="2205">
      <formula>W337&gt;W311</formula>
    </cfRule>
  </conditionalFormatting>
  <conditionalFormatting sqref="Y337">
    <cfRule type="expression" dxfId="1317" priority="2204">
      <formula>Y337&gt;Y311</formula>
    </cfRule>
  </conditionalFormatting>
  <conditionalFormatting sqref="D346:AI346 AB347:AI352">
    <cfRule type="expression" dxfId="1316" priority="2203">
      <formula>D346&gt;D359</formula>
    </cfRule>
  </conditionalFormatting>
  <conditionalFormatting sqref="D359:Y359">
    <cfRule type="expression" dxfId="1315" priority="2202">
      <formula>D346&gt;D359</formula>
    </cfRule>
  </conditionalFormatting>
  <conditionalFormatting sqref="D347:Y352">
    <cfRule type="expression" dxfId="1314" priority="2201">
      <formula>D347&gt;D360</formula>
    </cfRule>
  </conditionalFormatting>
  <conditionalFormatting sqref="D360:Y365">
    <cfRule type="expression" dxfId="1313" priority="2200">
      <formula>D347&gt;D360</formula>
    </cfRule>
  </conditionalFormatting>
  <conditionalFormatting sqref="D358:Y358 AB358:AG358">
    <cfRule type="expression" dxfId="1312" priority="2199">
      <formula>D358&gt;D359</formula>
    </cfRule>
  </conditionalFormatting>
  <conditionalFormatting sqref="AK358">
    <cfRule type="notContainsBlanks" dxfId="1311" priority="2197">
      <formula>LEN(TRIM(AK358))&gt;0</formula>
    </cfRule>
  </conditionalFormatting>
  <conditionalFormatting sqref="J372:Y372 AB372:AG372">
    <cfRule type="expression" dxfId="1310" priority="2196">
      <formula>J372&lt;&gt;J359</formula>
    </cfRule>
  </conditionalFormatting>
  <conditionalFormatting sqref="D359:Y359 AB359:AG359 AJ359">
    <cfRule type="expression" dxfId="1309" priority="2195">
      <formula>D372&lt;&gt;D359</formula>
    </cfRule>
  </conditionalFormatting>
  <conditionalFormatting sqref="K359:Y359 AB359:AG359">
    <cfRule type="expression" dxfId="1308" priority="2194">
      <formula>K339&gt;K359</formula>
    </cfRule>
  </conditionalFormatting>
  <conditionalFormatting sqref="D379:AI379">
    <cfRule type="expression" dxfId="1307" priority="2192">
      <formula>D374&gt;D379</formula>
    </cfRule>
  </conditionalFormatting>
  <conditionalFormatting sqref="D379:AI379">
    <cfRule type="expression" dxfId="1306" priority="2190">
      <formula>D375&gt;D379</formula>
    </cfRule>
  </conditionalFormatting>
  <conditionalFormatting sqref="D379:AI379">
    <cfRule type="cellIs" dxfId="1305" priority="2189" operator="equal">
      <formula>0</formula>
    </cfRule>
  </conditionalFormatting>
  <conditionalFormatting sqref="AB384:AI384 D384:Y386">
    <cfRule type="expression" dxfId="1304" priority="2188">
      <formula>D384&gt;SUM(D380:D382)</formula>
    </cfRule>
  </conditionalFormatting>
  <conditionalFormatting sqref="D383:Y383 AB383:AI383">
    <cfRule type="cellIs" dxfId="1303" priority="2187" operator="equal">
      <formula>0</formula>
    </cfRule>
  </conditionalFormatting>
  <conditionalFormatting sqref="D383:Y383 AB383:AI383">
    <cfRule type="expression" dxfId="1302" priority="2186">
      <formula>E384&gt;(E380+E381+E382)</formula>
    </cfRule>
  </conditionalFormatting>
  <conditionalFormatting sqref="AK383">
    <cfRule type="notContainsBlanks" dxfId="1301" priority="2185">
      <formula>LEN(TRIM(AK383))&gt;0</formula>
    </cfRule>
  </conditionalFormatting>
  <conditionalFormatting sqref="D387:Y387 D379:AI379">
    <cfRule type="expression" dxfId="1300" priority="2183">
      <formula>D383&gt;D379</formula>
    </cfRule>
  </conditionalFormatting>
  <conditionalFormatting sqref="AK384:AK387">
    <cfRule type="notContainsBlanks" dxfId="1299" priority="2182">
      <formula>LEN(TRIM(AK384))&gt;0</formula>
    </cfRule>
  </conditionalFormatting>
  <conditionalFormatting sqref="D390:AI390">
    <cfRule type="expression" dxfId="1298" priority="2181">
      <formula>D390&gt;D379</formula>
    </cfRule>
  </conditionalFormatting>
  <conditionalFormatting sqref="D346:H346 J346:AI346">
    <cfRule type="expression" dxfId="1297" priority="2180">
      <formula>D354&gt;D346</formula>
    </cfRule>
  </conditionalFormatting>
  <conditionalFormatting sqref="AK390">
    <cfRule type="notContainsBlanks" dxfId="1296" priority="2179">
      <formula>LEN(TRIM(AK390))&gt;0</formula>
    </cfRule>
  </conditionalFormatting>
  <conditionalFormatting sqref="AK390">
    <cfRule type="notContainsBlanks" dxfId="1295" priority="2178">
      <formula>LEN(TRIM(AK390))&gt;0</formula>
    </cfRule>
  </conditionalFormatting>
  <conditionalFormatting sqref="D359:Y359 AB359:AG359">
    <cfRule type="expression" dxfId="1294" priority="2175">
      <formula>D379&gt;D359</formula>
    </cfRule>
  </conditionalFormatting>
  <conditionalFormatting sqref="AK374">
    <cfRule type="notContainsBlanks" dxfId="1293" priority="2174">
      <formula>LEN(TRIM(AK374))&gt;0</formula>
    </cfRule>
  </conditionalFormatting>
  <conditionalFormatting sqref="D359:Y359 AB359:AG359">
    <cfRule type="expression" dxfId="1292" priority="2173">
      <formula>SUM(D182:D183)&gt;D359</formula>
    </cfRule>
  </conditionalFormatting>
  <conditionalFormatting sqref="K329">
    <cfRule type="expression" dxfId="1291" priority="1264">
      <formula>K329&gt;K346</formula>
    </cfRule>
    <cfRule type="expression" dxfId="1290" priority="2170">
      <formula>K329&gt;K346 &amp; EXACT($I$3,"1") &amp; EXACT($E$3,"1")</formula>
    </cfRule>
  </conditionalFormatting>
  <conditionalFormatting sqref="D392:AA392">
    <cfRule type="expression" dxfId="1289" priority="2168">
      <formula>D393&gt;D392</formula>
    </cfRule>
  </conditionalFormatting>
  <conditionalFormatting sqref="D414:AG420">
    <cfRule type="expression" dxfId="1288" priority="2167">
      <formula>D414&gt;D$408</formula>
    </cfRule>
  </conditionalFormatting>
  <conditionalFormatting sqref="D408:AG408">
    <cfRule type="expression" dxfId="1287" priority="2166">
      <formula>D414&gt;D$408</formula>
    </cfRule>
  </conditionalFormatting>
  <conditionalFormatting sqref="F426:Y426 AB426:AI426">
    <cfRule type="expression" dxfId="1286" priority="2165">
      <formula>F426&gt;F422</formula>
    </cfRule>
  </conditionalFormatting>
  <conditionalFormatting sqref="D422:Y422 AB422:AI422">
    <cfRule type="expression" dxfId="1285" priority="2164">
      <formula>D426&gt;D422</formula>
    </cfRule>
  </conditionalFormatting>
  <conditionalFormatting sqref="AL422">
    <cfRule type="notContainsBlanks" dxfId="1284" priority="2163">
      <formula>LEN(TRIM(AL422))&gt;0</formula>
    </cfRule>
  </conditionalFormatting>
  <conditionalFormatting sqref="F428:Y428 AB428:AI428">
    <cfRule type="expression" dxfId="1283" priority="2162">
      <formula>F428&gt;F426</formula>
    </cfRule>
  </conditionalFormatting>
  <conditionalFormatting sqref="F426:Y426 AB426:AI426">
    <cfRule type="expression" dxfId="1282" priority="2161">
      <formula>F428&gt;F426</formula>
    </cfRule>
  </conditionalFormatting>
  <conditionalFormatting sqref="D431:Y431 AB431:AI431">
    <cfRule type="expression" dxfId="1281" priority="2160">
      <formula>D431&lt;&gt;D423</formula>
    </cfRule>
  </conditionalFormatting>
  <conditionalFormatting sqref="D423:Y423 AB423:AI423">
    <cfRule type="expression" dxfId="1280" priority="2159">
      <formula>D431&lt;&gt;D423</formula>
    </cfRule>
  </conditionalFormatting>
  <conditionalFormatting sqref="F430:Y430 AB430:AI430">
    <cfRule type="expression" dxfId="1279" priority="2158">
      <formula>F430&gt;F428</formula>
    </cfRule>
  </conditionalFormatting>
  <conditionalFormatting sqref="F428:Y428 AB428:AI428">
    <cfRule type="expression" dxfId="1278" priority="2157">
      <formula>F430&gt;F428</formula>
    </cfRule>
  </conditionalFormatting>
  <conditionalFormatting sqref="AK422">
    <cfRule type="notContainsBlanks" dxfId="1277" priority="2155">
      <formula>LEN(TRIM(AK422))&gt;0</formula>
    </cfRule>
  </conditionalFormatting>
  <conditionalFormatting sqref="AK426">
    <cfRule type="notContainsBlanks" dxfId="1276" priority="2154">
      <formula>LEN(TRIM(AK426))&gt;0</formula>
    </cfRule>
  </conditionalFormatting>
  <conditionalFormatting sqref="AK427">
    <cfRule type="notContainsBlanks" dxfId="1275" priority="2153">
      <formula>LEN(TRIM(AK427))&gt;0</formula>
    </cfRule>
  </conditionalFormatting>
  <conditionalFormatting sqref="D427:AI427">
    <cfRule type="expression" dxfId="1274" priority="2152">
      <formula>D427&gt;D422</formula>
    </cfRule>
  </conditionalFormatting>
  <conditionalFormatting sqref="F425:Y425 AB425:AJ425">
    <cfRule type="cellIs" dxfId="1273" priority="2151" operator="lessThan">
      <formula>0</formula>
    </cfRule>
  </conditionalFormatting>
  <conditionalFormatting sqref="D422:Y422 AB422:AI422">
    <cfRule type="expression" dxfId="1272" priority="2150">
      <formula>D427&gt;D422</formula>
    </cfRule>
  </conditionalFormatting>
  <conditionalFormatting sqref="AK428">
    <cfRule type="notContainsBlanks" dxfId="1271" priority="2149">
      <formula>LEN(TRIM(AK428))&gt;0</formula>
    </cfRule>
  </conditionalFormatting>
  <conditionalFormatting sqref="AM430">
    <cfRule type="notContainsBlanks" dxfId="1270" priority="3259">
      <formula>LEN(TRIM(AM430))&gt;0</formula>
    </cfRule>
  </conditionalFormatting>
  <conditionalFormatting sqref="AN422">
    <cfRule type="notContainsBlanks" dxfId="1269" priority="2147">
      <formula>LEN(TRIM(AN422))&gt;0</formula>
    </cfRule>
  </conditionalFormatting>
  <conditionalFormatting sqref="AK430">
    <cfRule type="notContainsBlanks" dxfId="1268" priority="2146">
      <formula>LEN(TRIM(AK430))&gt;0</formula>
    </cfRule>
  </conditionalFormatting>
  <conditionalFormatting sqref="AK432">
    <cfRule type="notContainsBlanks" dxfId="1267" priority="2145">
      <formula>LEN(TRIM(AK432))&gt;0</formula>
    </cfRule>
  </conditionalFormatting>
  <conditionalFormatting sqref="AK431">
    <cfRule type="notContainsBlanks" dxfId="1266" priority="2144">
      <formula>LEN(TRIM(AK431))&gt;0</formula>
    </cfRule>
  </conditionalFormatting>
  <conditionalFormatting sqref="F426:Y426 AB426:AI426">
    <cfRule type="expression" dxfId="1265" priority="2121">
      <formula>F426&lt;F425</formula>
    </cfRule>
  </conditionalFormatting>
  <conditionalFormatting sqref="F425:Y425 AB425:AI425">
    <cfRule type="expression" dxfId="1264" priority="2120">
      <formula>F426&lt;F425</formula>
    </cfRule>
  </conditionalFormatting>
  <conditionalFormatting sqref="J434:AG434 F430:Y430 AB430:AI430">
    <cfRule type="expression" dxfId="1263" priority="2119">
      <formula>F428&gt;F430</formula>
    </cfRule>
  </conditionalFormatting>
  <conditionalFormatting sqref="F428:Y428 AB428:AI428">
    <cfRule type="expression" dxfId="1262" priority="2118">
      <formula>F428&gt;F430</formula>
    </cfRule>
  </conditionalFormatting>
  <conditionalFormatting sqref="D398:AA398">
    <cfRule type="expression" dxfId="1261" priority="2117">
      <formula>D398&gt;D393</formula>
    </cfRule>
  </conditionalFormatting>
  <conditionalFormatting sqref="D393:AA393">
    <cfRule type="expression" dxfId="1260" priority="2116">
      <formula>D398&gt;D393</formula>
    </cfRule>
  </conditionalFormatting>
  <conditionalFormatting sqref="D397:AA397">
    <cfRule type="expression" dxfId="1259" priority="2114">
      <formula>D397&gt;SUM(D396,D395,D394)</formula>
    </cfRule>
  </conditionalFormatting>
  <conditionalFormatting sqref="D396:AA396">
    <cfRule type="expression" dxfId="1258" priority="2113">
      <formula>D397&gt;SUM(D396,D395,D394)</formula>
    </cfRule>
  </conditionalFormatting>
  <conditionalFormatting sqref="D395:AA395">
    <cfRule type="expression" dxfId="1257" priority="2112">
      <formula>D397&gt;SUM(D396,D395,D394)</formula>
    </cfRule>
  </conditionalFormatting>
  <conditionalFormatting sqref="D394:AA394">
    <cfRule type="expression" dxfId="1256" priority="2111">
      <formula>D397&gt;SUM(D396,D395,D394)</formula>
    </cfRule>
  </conditionalFormatting>
  <conditionalFormatting sqref="D375:Y375 AB375:AI375">
    <cfRule type="expression" dxfId="1255" priority="2110">
      <formula>D389&gt;D375</formula>
    </cfRule>
  </conditionalFormatting>
  <conditionalFormatting sqref="D389:Y389 AB389:AI389">
    <cfRule type="expression" dxfId="1254" priority="2109">
      <formula>D389&gt;D375</formula>
    </cfRule>
  </conditionalFormatting>
  <conditionalFormatting sqref="K304">
    <cfRule type="expression" dxfId="1253" priority="2108">
      <formula>K305&gt;K304</formula>
    </cfRule>
  </conditionalFormatting>
  <conditionalFormatting sqref="K334">
    <cfRule type="expression" dxfId="1252" priority="2107">
      <formula>K334&gt;K305</formula>
    </cfRule>
  </conditionalFormatting>
  <conditionalFormatting sqref="M334">
    <cfRule type="expression" dxfId="1251" priority="2106">
      <formula>M334&gt;M305</formula>
    </cfRule>
  </conditionalFormatting>
  <conditionalFormatting sqref="O334">
    <cfRule type="expression" dxfId="1250" priority="2105">
      <formula>O334&gt;O305</formula>
    </cfRule>
  </conditionalFormatting>
  <conditionalFormatting sqref="Q334">
    <cfRule type="expression" dxfId="1249" priority="2104">
      <formula>Q334&gt;Q305</formula>
    </cfRule>
  </conditionalFormatting>
  <conditionalFormatting sqref="S334">
    <cfRule type="expression" dxfId="1248" priority="2103">
      <formula>S334&gt;S305</formula>
    </cfRule>
  </conditionalFormatting>
  <conditionalFormatting sqref="U334">
    <cfRule type="expression" dxfId="1247" priority="2102">
      <formula>U334&gt;U305</formula>
    </cfRule>
  </conditionalFormatting>
  <conditionalFormatting sqref="W334">
    <cfRule type="expression" dxfId="1246" priority="2101">
      <formula>W334&gt;W305</formula>
    </cfRule>
  </conditionalFormatting>
  <conditionalFormatting sqref="Y334">
    <cfRule type="expression" dxfId="1245" priority="2100">
      <formula>Y334&gt;Y305</formula>
    </cfRule>
  </conditionalFormatting>
  <conditionalFormatting sqref="D18:AG18 AJ18">
    <cfRule type="cellIs" dxfId="1244" priority="2099" operator="equal">
      <formula>0</formula>
    </cfRule>
  </conditionalFormatting>
  <conditionalFormatting sqref="AK11">
    <cfRule type="notContainsBlanks" dxfId="1243" priority="2098">
      <formula>LEN(TRIM(AK11))&gt;0</formula>
    </cfRule>
  </conditionalFormatting>
  <conditionalFormatting sqref="AK12">
    <cfRule type="notContainsBlanks" dxfId="1242" priority="2097">
      <formula>LEN(TRIM(AK12))&gt;0</formula>
    </cfRule>
  </conditionalFormatting>
  <conditionalFormatting sqref="AK16">
    <cfRule type="notContainsBlanks" dxfId="1241" priority="2095">
      <formula>LEN(TRIM(AK16))&gt;0</formula>
    </cfRule>
  </conditionalFormatting>
  <conditionalFormatting sqref="AK15">
    <cfRule type="notContainsBlanks" dxfId="1240" priority="2094">
      <formula>LEN(TRIM(AK15))&gt;0</formula>
    </cfRule>
  </conditionalFormatting>
  <conditionalFormatting sqref="D14:AG14">
    <cfRule type="cellIs" dxfId="1239" priority="2078" operator="equal">
      <formula>0</formula>
    </cfRule>
  </conditionalFormatting>
  <conditionalFormatting sqref="AK14">
    <cfRule type="notContainsBlanks" dxfId="1238" priority="2077">
      <formula>LEN(TRIM(AK14))&gt;0</formula>
    </cfRule>
  </conditionalFormatting>
  <conditionalFormatting sqref="D14:AG14">
    <cfRule type="expression" dxfId="1237" priority="2076">
      <formula>D54&gt;D14</formula>
    </cfRule>
  </conditionalFormatting>
  <conditionalFormatting sqref="D54:AI54">
    <cfRule type="expression" dxfId="1236" priority="2075">
      <formula>D54&gt;D14</formula>
    </cfRule>
  </conditionalFormatting>
  <conditionalFormatting sqref="M222">
    <cfRule type="cellIs" dxfId="1235" priority="2057" operator="equal">
      <formula>0</formula>
    </cfRule>
  </conditionalFormatting>
  <conditionalFormatting sqref="M216">
    <cfRule type="expression" dxfId="1234" priority="1612">
      <formula>M215&lt;(M216+M217+M218)</formula>
    </cfRule>
    <cfRule type="expression" dxfId="1233" priority="1998">
      <formula>(M218+M217+M216)&gt;M214</formula>
    </cfRule>
  </conditionalFormatting>
  <conditionalFormatting sqref="M217">
    <cfRule type="expression" dxfId="1232" priority="1611">
      <formula>M215&lt;(M216+M217+M218)</formula>
    </cfRule>
    <cfRule type="expression" dxfId="1231" priority="1997">
      <formula>(M218+M217+M216)&gt;M214</formula>
    </cfRule>
  </conditionalFormatting>
  <conditionalFormatting sqref="M218">
    <cfRule type="expression" dxfId="1230" priority="1610">
      <formula>M215&lt;(M216+M217+M218)</formula>
    </cfRule>
    <cfRule type="expression" dxfId="1229" priority="1996">
      <formula>(M218+M217+M216)&gt;M214</formula>
    </cfRule>
  </conditionalFormatting>
  <conditionalFormatting sqref="AM247:AN247">
    <cfRule type="notContainsBlanks" dxfId="1228" priority="1917">
      <formula>LEN(TRIM(AM247))&gt;0</formula>
    </cfRule>
  </conditionalFormatting>
  <conditionalFormatting sqref="AJ248:AJ273">
    <cfRule type="cellIs" dxfId="1227" priority="1915" operator="equal">
      <formula>0</formula>
    </cfRule>
  </conditionalFormatting>
  <conditionalFormatting sqref="AM248:AN255">
    <cfRule type="notContainsBlanks" dxfId="1226" priority="1913">
      <formula>LEN(TRIM(AM248))&gt;0</formula>
    </cfRule>
  </conditionalFormatting>
  <conditionalFormatting sqref="AM256:AN256">
    <cfRule type="notContainsBlanks" dxfId="1225" priority="1904">
      <formula>LEN(TRIM(AM256))&gt;0</formula>
    </cfRule>
  </conditionalFormatting>
  <conditionalFormatting sqref="AM257:AN264">
    <cfRule type="notContainsBlanks" dxfId="1224" priority="1900">
      <formula>LEN(TRIM(AM257))&gt;0</formula>
    </cfRule>
  </conditionalFormatting>
  <conditionalFormatting sqref="AM265:AN265">
    <cfRule type="notContainsBlanks" dxfId="1223" priority="1891">
      <formula>LEN(TRIM(AM265))&gt;0</formula>
    </cfRule>
  </conditionalFormatting>
  <conditionalFormatting sqref="AM266:AN273">
    <cfRule type="notContainsBlanks" dxfId="1222" priority="1887">
      <formula>LEN(TRIM(AM266))&gt;0</formula>
    </cfRule>
  </conditionalFormatting>
  <conditionalFormatting sqref="D240:AG240">
    <cfRule type="cellIs" dxfId="1221" priority="1880" operator="equal">
      <formula>0</formula>
    </cfRule>
  </conditionalFormatting>
  <conditionalFormatting sqref="D274:AA275 AJ276 AJ274">
    <cfRule type="cellIs" dxfId="1220" priority="1879" operator="equal">
      <formula>0</formula>
    </cfRule>
  </conditionalFormatting>
  <conditionalFormatting sqref="D278:AA278">
    <cfRule type="expression" dxfId="1219" priority="1878">
      <formula>D278&gt;D274</formula>
    </cfRule>
  </conditionalFormatting>
  <conditionalFormatting sqref="D274:AA274">
    <cfRule type="expression" dxfId="1218" priority="1877">
      <formula>D278&gt;D274</formula>
    </cfRule>
  </conditionalFormatting>
  <conditionalFormatting sqref="AJ247">
    <cfRule type="cellIs" dxfId="1217" priority="1876" operator="equal">
      <formula>0</formula>
    </cfRule>
  </conditionalFormatting>
  <conditionalFormatting sqref="AJ12:AJ13">
    <cfRule type="cellIs" dxfId="1216" priority="1874" operator="equal">
      <formula>0</formula>
    </cfRule>
  </conditionalFormatting>
  <conditionalFormatting sqref="AJ14">
    <cfRule type="cellIs" dxfId="1215" priority="1873" operator="equal">
      <formula>0</formula>
    </cfRule>
  </conditionalFormatting>
  <conditionalFormatting sqref="AJ15:AJ17">
    <cfRule type="cellIs" dxfId="1214" priority="1872" operator="equal">
      <formula>0</formula>
    </cfRule>
  </conditionalFormatting>
  <conditionalFormatting sqref="D239:AG239">
    <cfRule type="expression" dxfId="1213" priority="1870">
      <formula>D239&gt;D238</formula>
    </cfRule>
  </conditionalFormatting>
  <conditionalFormatting sqref="D238:AG238">
    <cfRule type="expression" dxfId="1212" priority="1869">
      <formula>D239&gt;D238</formula>
    </cfRule>
  </conditionalFormatting>
  <conditionalFormatting sqref="D240:AG240">
    <cfRule type="expression" dxfId="1211" priority="1868">
      <formula>D240&gt;D239</formula>
    </cfRule>
  </conditionalFormatting>
  <conditionalFormatting sqref="D239:AG239">
    <cfRule type="expression" dxfId="1210" priority="1867">
      <formula>D240&gt;D239</formula>
    </cfRule>
  </conditionalFormatting>
  <conditionalFormatting sqref="D275:AA275">
    <cfRule type="expression" dxfId="1209" priority="1866">
      <formula>D275&gt;D274</formula>
    </cfRule>
  </conditionalFormatting>
  <conditionalFormatting sqref="D274:AA274">
    <cfRule type="expression" dxfId="1208" priority="1865">
      <formula>D275&gt;D274</formula>
    </cfRule>
  </conditionalFormatting>
  <conditionalFormatting sqref="AK241">
    <cfRule type="notContainsBlanks" dxfId="1207" priority="1864">
      <formula>LEN(TRIM(AK241))&gt;0</formula>
    </cfRule>
  </conditionalFormatting>
  <conditionalFormatting sqref="AL247">
    <cfRule type="notContainsBlanks" dxfId="1206" priority="1863">
      <formula>LEN(TRIM(AL247))&gt;0</formula>
    </cfRule>
  </conditionalFormatting>
  <conditionalFormatting sqref="AL256">
    <cfRule type="notContainsBlanks" dxfId="1205" priority="1862">
      <formula>LEN(TRIM(AL256))&gt;0</formula>
    </cfRule>
  </conditionalFormatting>
  <conditionalFormatting sqref="AL265">
    <cfRule type="notContainsBlanks" dxfId="1204" priority="1861">
      <formula>LEN(TRIM(AL265))&gt;0</formula>
    </cfRule>
  </conditionalFormatting>
  <conditionalFormatting sqref="D242:AG242">
    <cfRule type="expression" dxfId="1203" priority="1860">
      <formula>D242&gt;D241</formula>
    </cfRule>
  </conditionalFormatting>
  <conditionalFormatting sqref="D241:AG241">
    <cfRule type="expression" dxfId="1202" priority="1859">
      <formula>D242&gt;D241</formula>
    </cfRule>
  </conditionalFormatting>
  <conditionalFormatting sqref="AK238">
    <cfRule type="notContainsBlanks" dxfId="1201" priority="1858">
      <formula>LEN(TRIM(AK238))&gt;0</formula>
    </cfRule>
  </conditionalFormatting>
  <conditionalFormatting sqref="AK243">
    <cfRule type="notContainsBlanks" dxfId="1200" priority="1857">
      <formula>LEN(TRIM(AK243))&gt;0</formula>
    </cfRule>
  </conditionalFormatting>
  <conditionalFormatting sqref="D244:AG244">
    <cfRule type="expression" dxfId="1199" priority="1856">
      <formula>D244&gt;D243</formula>
    </cfRule>
  </conditionalFormatting>
  <conditionalFormatting sqref="D243:AG243">
    <cfRule type="expression" dxfId="1198" priority="1855">
      <formula>D244&gt;D243</formula>
    </cfRule>
  </conditionalFormatting>
  <conditionalFormatting sqref="AK248:AK249 AK251 AK253:AK255">
    <cfRule type="notContainsBlanks" dxfId="1197" priority="1854">
      <formula>LEN(TRIM(AK248))&gt;0</formula>
    </cfRule>
  </conditionalFormatting>
  <conditionalFormatting sqref="AK250">
    <cfRule type="notContainsBlanks" dxfId="1196" priority="1853">
      <formula>LEN(TRIM(AK250))&gt;0</formula>
    </cfRule>
  </conditionalFormatting>
  <conditionalFormatting sqref="AK247">
    <cfRule type="notContainsBlanks" dxfId="1195" priority="1852">
      <formula>LEN(TRIM(AK247))&gt;0</formula>
    </cfRule>
  </conditionalFormatting>
  <conditionalFormatting sqref="AK252">
    <cfRule type="notContainsBlanks" dxfId="1194" priority="1851">
      <formula>LEN(TRIM(AK252))&gt;0</formula>
    </cfRule>
  </conditionalFormatting>
  <conditionalFormatting sqref="AK257:AK258 AK260 AK262:AK264">
    <cfRule type="notContainsBlanks" dxfId="1193" priority="1850">
      <formula>LEN(TRIM(AK257))&gt;0</formula>
    </cfRule>
  </conditionalFormatting>
  <conditionalFormatting sqref="AK259">
    <cfRule type="notContainsBlanks" dxfId="1192" priority="1849">
      <formula>LEN(TRIM(AK259))&gt;0</formula>
    </cfRule>
  </conditionalFormatting>
  <conditionalFormatting sqref="AK256">
    <cfRule type="notContainsBlanks" dxfId="1191" priority="1848">
      <formula>LEN(TRIM(AK256))&gt;0</formula>
    </cfRule>
  </conditionalFormatting>
  <conditionalFormatting sqref="AK261">
    <cfRule type="notContainsBlanks" dxfId="1190" priority="1847">
      <formula>LEN(TRIM(AK261))&gt;0</formula>
    </cfRule>
  </conditionalFormatting>
  <conditionalFormatting sqref="AK266:AK267 AK269 AK271:AK273">
    <cfRule type="notContainsBlanks" dxfId="1189" priority="1846">
      <formula>LEN(TRIM(AK266))&gt;0</formula>
    </cfRule>
  </conditionalFormatting>
  <conditionalFormatting sqref="AK268">
    <cfRule type="notContainsBlanks" dxfId="1188" priority="1845">
      <formula>LEN(TRIM(AK268))&gt;0</formula>
    </cfRule>
  </conditionalFormatting>
  <conditionalFormatting sqref="AK265">
    <cfRule type="notContainsBlanks" dxfId="1187" priority="1844">
      <formula>LEN(TRIM(AK265))&gt;0</formula>
    </cfRule>
  </conditionalFormatting>
  <conditionalFormatting sqref="AK270">
    <cfRule type="notContainsBlanks" dxfId="1186" priority="1843">
      <formula>LEN(TRIM(AK270))&gt;0</formula>
    </cfRule>
  </conditionalFormatting>
  <conditionalFormatting sqref="D247:AG247">
    <cfRule type="cellIs" dxfId="1185" priority="1842" operator="equal">
      <formula>0</formula>
    </cfRule>
  </conditionalFormatting>
  <conditionalFormatting sqref="D249:AG249">
    <cfRule type="cellIs" dxfId="1184" priority="1841" operator="equal">
      <formula>0</formula>
    </cfRule>
  </conditionalFormatting>
  <conditionalFormatting sqref="D248:AG248">
    <cfRule type="expression" dxfId="1183" priority="1840">
      <formula>D248&gt;D247</formula>
    </cfRule>
  </conditionalFormatting>
  <conditionalFormatting sqref="D247:AG247">
    <cfRule type="expression" dxfId="1182" priority="1839">
      <formula>D248&gt;D247</formula>
    </cfRule>
  </conditionalFormatting>
  <conditionalFormatting sqref="D249:AG249">
    <cfRule type="expression" dxfId="1181" priority="1838">
      <formula>D249&gt;D248</formula>
    </cfRule>
  </conditionalFormatting>
  <conditionalFormatting sqref="D248:AG248">
    <cfRule type="expression" dxfId="1180" priority="1837">
      <formula>D249&gt;D248</formula>
    </cfRule>
  </conditionalFormatting>
  <conditionalFormatting sqref="D251:AG251">
    <cfRule type="expression" dxfId="1179" priority="1836">
      <formula>D251&gt;D250</formula>
    </cfRule>
  </conditionalFormatting>
  <conditionalFormatting sqref="D250:AG250">
    <cfRule type="expression" dxfId="1178" priority="1835">
      <formula>D251&gt;D250</formula>
    </cfRule>
  </conditionalFormatting>
  <conditionalFormatting sqref="D253:AG253">
    <cfRule type="expression" dxfId="1177" priority="1834">
      <formula>D253&gt;D252</formula>
    </cfRule>
  </conditionalFormatting>
  <conditionalFormatting sqref="D252:AG252">
    <cfRule type="expression" dxfId="1176" priority="1833">
      <formula>D253&gt;D252</formula>
    </cfRule>
  </conditionalFormatting>
  <conditionalFormatting sqref="D258:AG258">
    <cfRule type="cellIs" dxfId="1175" priority="1831" operator="equal">
      <formula>0</formula>
    </cfRule>
  </conditionalFormatting>
  <conditionalFormatting sqref="D257:AG257">
    <cfRule type="expression" dxfId="1174" priority="1830">
      <formula>D257&gt;D256</formula>
    </cfRule>
  </conditionalFormatting>
  <conditionalFormatting sqref="D256:AG256">
    <cfRule type="expression" dxfId="1173" priority="1829">
      <formula>D257&gt;D256</formula>
    </cfRule>
  </conditionalFormatting>
  <conditionalFormatting sqref="D258:AG258">
    <cfRule type="expression" dxfId="1172" priority="1828">
      <formula>D258&gt;D257</formula>
    </cfRule>
  </conditionalFormatting>
  <conditionalFormatting sqref="D257:AG257">
    <cfRule type="expression" dxfId="1171" priority="1827">
      <formula>D258&gt;D257</formula>
    </cfRule>
  </conditionalFormatting>
  <conditionalFormatting sqref="D260:AG260">
    <cfRule type="expression" dxfId="1170" priority="1826">
      <formula>D260&gt;D259</formula>
    </cfRule>
  </conditionalFormatting>
  <conditionalFormatting sqref="D259:AG259">
    <cfRule type="expression" dxfId="1169" priority="1825">
      <formula>D260&gt;D259</formula>
    </cfRule>
  </conditionalFormatting>
  <conditionalFormatting sqref="D262:AG262">
    <cfRule type="expression" dxfId="1168" priority="1824">
      <formula>D262&gt;D261</formula>
    </cfRule>
  </conditionalFormatting>
  <conditionalFormatting sqref="D261:AG261">
    <cfRule type="expression" dxfId="1167" priority="1823">
      <formula>D262&gt;D261</formula>
    </cfRule>
  </conditionalFormatting>
  <conditionalFormatting sqref="D265:AG265">
    <cfRule type="cellIs" dxfId="1166" priority="1822" operator="equal">
      <formula>0</formula>
    </cfRule>
  </conditionalFormatting>
  <conditionalFormatting sqref="D267:AG267">
    <cfRule type="cellIs" dxfId="1165" priority="1821" operator="equal">
      <formula>0</formula>
    </cfRule>
  </conditionalFormatting>
  <conditionalFormatting sqref="D266:AG266">
    <cfRule type="expression" dxfId="1164" priority="1820">
      <formula>D266&gt;D265</formula>
    </cfRule>
  </conditionalFormatting>
  <conditionalFormatting sqref="D265:AG265">
    <cfRule type="expression" dxfId="1163" priority="1819">
      <formula>D266&gt;D265</formula>
    </cfRule>
  </conditionalFormatting>
  <conditionalFormatting sqref="D267:AG267">
    <cfRule type="expression" dxfId="1162" priority="1818">
      <formula>D267&gt;D266</formula>
    </cfRule>
  </conditionalFormatting>
  <conditionalFormatting sqref="D266:AG266">
    <cfRule type="expression" dxfId="1161" priority="1817">
      <formula>D267&gt;D266</formula>
    </cfRule>
  </conditionalFormatting>
  <conditionalFormatting sqref="D269:AG269">
    <cfRule type="expression" dxfId="1160" priority="1816">
      <formula>D269&gt;D268</formula>
    </cfRule>
  </conditionalFormatting>
  <conditionalFormatting sqref="D268:AG268">
    <cfRule type="expression" dxfId="1159" priority="1815">
      <formula>D269&gt;D268</formula>
    </cfRule>
  </conditionalFormatting>
  <conditionalFormatting sqref="D271:AG271">
    <cfRule type="expression" dxfId="1158" priority="1814">
      <formula>D271&gt;D270</formula>
    </cfRule>
  </conditionalFormatting>
  <conditionalFormatting sqref="D270:AG270">
    <cfRule type="expression" dxfId="1157" priority="1813">
      <formula>D271&gt;D270</formula>
    </cfRule>
  </conditionalFormatting>
  <conditionalFormatting sqref="K282 M282 O282 Q282 S282 U282 W282 Y282 AA282">
    <cfRule type="expression" dxfId="1156" priority="1812">
      <formula>K282&gt;K281</formula>
    </cfRule>
  </conditionalFormatting>
  <conditionalFormatting sqref="D284:AA284">
    <cfRule type="expression" dxfId="1155" priority="1811">
      <formula>D284&gt;D283</formula>
    </cfRule>
  </conditionalFormatting>
  <conditionalFormatting sqref="K281 M281 O281 Q281 S281 U281 W281 Y281 AA281">
    <cfRule type="expression" dxfId="1154" priority="1810">
      <formula>K281&gt;K274</formula>
    </cfRule>
  </conditionalFormatting>
  <conditionalFormatting sqref="D274:AA274">
    <cfRule type="expression" dxfId="1153" priority="1809">
      <formula>D281&gt;D274</formula>
    </cfRule>
  </conditionalFormatting>
  <conditionalFormatting sqref="D383:Y383 AB383:AI383">
    <cfRule type="expression" dxfId="1152" priority="1808">
      <formula>D383&gt;D379</formula>
    </cfRule>
  </conditionalFormatting>
  <conditionalFormatting sqref="AL374:AL390">
    <cfRule type="notContainsBlanks" dxfId="1151" priority="1807">
      <formula>LEN(TRIM(AL374))&gt;0</formula>
    </cfRule>
  </conditionalFormatting>
  <conditionalFormatting sqref="D390:AI390">
    <cfRule type="expression" dxfId="1150" priority="1806">
      <formula>D390&gt;D384</formula>
    </cfRule>
  </conditionalFormatting>
  <conditionalFormatting sqref="AL316:AL324">
    <cfRule type="notContainsBlanks" dxfId="1149" priority="1804">
      <formula>LEN(TRIM(AL316))&gt;0</formula>
    </cfRule>
  </conditionalFormatting>
  <conditionalFormatting sqref="AN316:AN324">
    <cfRule type="notContainsBlanks" dxfId="1148" priority="1800">
      <formula>LEN(TRIM(AN316))&gt;0</formula>
    </cfRule>
  </conditionalFormatting>
  <conditionalFormatting sqref="AJ11">
    <cfRule type="cellIs" dxfId="1147" priority="1795" operator="equal">
      <formula>0</formula>
    </cfRule>
  </conditionalFormatting>
  <conditionalFormatting sqref="AJ11">
    <cfRule type="cellIs" dxfId="1146" priority="1793" operator="equal">
      <formula>0</formula>
    </cfRule>
  </conditionalFormatting>
  <conditionalFormatting sqref="D276:AA277">
    <cfRule type="cellIs" dxfId="1145" priority="1791" operator="equal">
      <formula>0</formula>
    </cfRule>
  </conditionalFormatting>
  <conditionalFormatting sqref="D276:AA276">
    <cfRule type="expression" dxfId="1144" priority="1790">
      <formula>D280&gt;D276</formula>
    </cfRule>
  </conditionalFormatting>
  <conditionalFormatting sqref="D277:AA277">
    <cfRule type="expression" dxfId="1143" priority="1789">
      <formula>D277&gt;D276</formula>
    </cfRule>
  </conditionalFormatting>
  <conditionalFormatting sqref="D276:AA276">
    <cfRule type="expression" dxfId="1142" priority="1788">
      <formula>D277&gt;D276</formula>
    </cfRule>
  </conditionalFormatting>
  <conditionalFormatting sqref="D276:AA276">
    <cfRule type="expression" dxfId="1141" priority="1787">
      <formula>D283&gt;D276</formula>
    </cfRule>
  </conditionalFormatting>
  <conditionalFormatting sqref="S310">
    <cfRule type="expression" dxfId="1140" priority="1786">
      <formula>S311&gt;S310</formula>
    </cfRule>
  </conditionalFormatting>
  <conditionalFormatting sqref="U310">
    <cfRule type="expression" dxfId="1139" priority="1785">
      <formula>U311&gt;U310</formula>
    </cfRule>
  </conditionalFormatting>
  <conditionalFormatting sqref="W310">
    <cfRule type="expression" dxfId="1138" priority="1784">
      <formula>W311&gt;W310</formula>
    </cfRule>
  </conditionalFormatting>
  <conditionalFormatting sqref="Y310">
    <cfRule type="expression" dxfId="1137" priority="1783">
      <formula>Y311&gt;Y310</formula>
    </cfRule>
  </conditionalFormatting>
  <conditionalFormatting sqref="O311">
    <cfRule type="expression" dxfId="1136" priority="1782">
      <formula>O311&gt;O310</formula>
    </cfRule>
  </conditionalFormatting>
  <conditionalFormatting sqref="O311">
    <cfRule type="expression" dxfId="1135" priority="1780">
      <formula>O337&gt;O311</formula>
    </cfRule>
  </conditionalFormatting>
  <conditionalFormatting sqref="O311">
    <cfRule type="expression" dxfId="1134" priority="1781">
      <formula>O311&gt;O310</formula>
    </cfRule>
  </conditionalFormatting>
  <conditionalFormatting sqref="M311">
    <cfRule type="expression" dxfId="1133" priority="1779">
      <formula>M311&gt;M310</formula>
    </cfRule>
  </conditionalFormatting>
  <conditionalFormatting sqref="M311">
    <cfRule type="expression" dxfId="1132" priority="1777">
      <formula>M337&gt;M311</formula>
    </cfRule>
  </conditionalFormatting>
  <conditionalFormatting sqref="M311">
    <cfRule type="expression" dxfId="1131" priority="1778">
      <formula>M311&gt;M310</formula>
    </cfRule>
  </conditionalFormatting>
  <conditionalFormatting sqref="K311">
    <cfRule type="expression" dxfId="1130" priority="1776">
      <formula>K311&gt;K310</formula>
    </cfRule>
  </conditionalFormatting>
  <conditionalFormatting sqref="K311">
    <cfRule type="expression" dxfId="1129" priority="1774">
      <formula>K337&gt;K311</formula>
    </cfRule>
  </conditionalFormatting>
  <conditionalFormatting sqref="K311">
    <cfRule type="expression" dxfId="1128" priority="1775">
      <formula>K311&gt;K310</formula>
    </cfRule>
  </conditionalFormatting>
  <conditionalFormatting sqref="S311">
    <cfRule type="expression" dxfId="1127" priority="1773">
      <formula>S311&gt;S310</formula>
    </cfRule>
  </conditionalFormatting>
  <conditionalFormatting sqref="S311">
    <cfRule type="expression" dxfId="1126" priority="1771">
      <formula>S337&gt;S311</formula>
    </cfRule>
  </conditionalFormatting>
  <conditionalFormatting sqref="S311">
    <cfRule type="expression" dxfId="1125" priority="1772">
      <formula>S311&gt;S310</formula>
    </cfRule>
  </conditionalFormatting>
  <conditionalFormatting sqref="U311">
    <cfRule type="expression" dxfId="1124" priority="1770">
      <formula>U311&gt;U310</formula>
    </cfRule>
  </conditionalFormatting>
  <conditionalFormatting sqref="U311">
    <cfRule type="expression" dxfId="1123" priority="1768">
      <formula>U337&gt;U311</formula>
    </cfRule>
  </conditionalFormatting>
  <conditionalFormatting sqref="U311">
    <cfRule type="expression" dxfId="1122" priority="1769">
      <formula>U311&gt;U310</formula>
    </cfRule>
  </conditionalFormatting>
  <conditionalFormatting sqref="W311">
    <cfRule type="expression" dxfId="1121" priority="1767">
      <formula>W311&gt;W310</formula>
    </cfRule>
  </conditionalFormatting>
  <conditionalFormatting sqref="W311">
    <cfRule type="expression" dxfId="1120" priority="1765">
      <formula>W337&gt;W311</formula>
    </cfRule>
  </conditionalFormatting>
  <conditionalFormatting sqref="W311">
    <cfRule type="expression" dxfId="1119" priority="1766">
      <formula>W311&gt;W310</formula>
    </cfRule>
  </conditionalFormatting>
  <conditionalFormatting sqref="Y311">
    <cfRule type="expression" dxfId="1118" priority="1764">
      <formula>Y311&gt;Y310</formula>
    </cfRule>
  </conditionalFormatting>
  <conditionalFormatting sqref="Y311">
    <cfRule type="expression" dxfId="1117" priority="1762">
      <formula>Y337&gt;Y311</formula>
    </cfRule>
  </conditionalFormatting>
  <conditionalFormatting sqref="Y311">
    <cfRule type="expression" dxfId="1116" priority="1763">
      <formula>Y311&gt;Y310</formula>
    </cfRule>
  </conditionalFormatting>
  <conditionalFormatting sqref="D383:Y383 AB383:AI383">
    <cfRule type="expression" dxfId="1115" priority="1761">
      <formula>D383&gt;D376</formula>
    </cfRule>
  </conditionalFormatting>
  <conditionalFormatting sqref="D376:Y376 AB376:AI376">
    <cfRule type="expression" dxfId="1114" priority="1760">
      <formula>D383&gt;D376</formula>
    </cfRule>
  </conditionalFormatting>
  <conditionalFormatting sqref="AN374:AN390">
    <cfRule type="notContainsBlanks" dxfId="1113" priority="1759">
      <formula>LEN(TRIM(AN374))&gt;0</formula>
    </cfRule>
  </conditionalFormatting>
  <conditionalFormatting sqref="D374:Y374 AB374:AI375">
    <cfRule type="expression" dxfId="1112" priority="1758">
      <formula>D374&gt;D388</formula>
    </cfRule>
  </conditionalFormatting>
  <conditionalFormatting sqref="D388:Y388 AB388:AI389">
    <cfRule type="expression" dxfId="1111" priority="1757">
      <formula>D374&gt;D388</formula>
    </cfRule>
  </conditionalFormatting>
  <conditionalFormatting sqref="D375:Y375">
    <cfRule type="expression" dxfId="1110" priority="1756">
      <formula>D375&gt;D389</formula>
    </cfRule>
  </conditionalFormatting>
  <conditionalFormatting sqref="D389:Y389">
    <cfRule type="expression" dxfId="1109" priority="1755">
      <formula>D375&gt;D389</formula>
    </cfRule>
  </conditionalFormatting>
  <conditionalFormatting sqref="K342">
    <cfRule type="expression" dxfId="1108" priority="1754">
      <formula>K342&gt;K309+K307</formula>
    </cfRule>
  </conditionalFormatting>
  <conditionalFormatting sqref="M342">
    <cfRule type="expression" dxfId="1107" priority="1753">
      <formula>M342&gt;M309+M307</formula>
    </cfRule>
  </conditionalFormatting>
  <conditionalFormatting sqref="O342">
    <cfRule type="expression" dxfId="1106" priority="1752">
      <formula>O342&gt;O309+O307</formula>
    </cfRule>
  </conditionalFormatting>
  <conditionalFormatting sqref="Q342">
    <cfRule type="expression" dxfId="1105" priority="1751">
      <formula>Q342&gt;Q309+Q307</formula>
    </cfRule>
  </conditionalFormatting>
  <conditionalFormatting sqref="S342">
    <cfRule type="expression" dxfId="1104" priority="1750">
      <formula>S342&gt;S309+S307</formula>
    </cfRule>
  </conditionalFormatting>
  <conditionalFormatting sqref="U342">
    <cfRule type="expression" dxfId="1103" priority="1749">
      <formula>U342&gt;U309+U307</formula>
    </cfRule>
  </conditionalFormatting>
  <conditionalFormatting sqref="W342">
    <cfRule type="expression" dxfId="1102" priority="1748">
      <formula>W342&gt;W309+W307</formula>
    </cfRule>
  </conditionalFormatting>
  <conditionalFormatting sqref="Y342">
    <cfRule type="expression" dxfId="1101" priority="1747">
      <formula>Y342&gt;Y309+Y307</formula>
    </cfRule>
  </conditionalFormatting>
  <conditionalFormatting sqref="K309">
    <cfRule type="expression" dxfId="1100" priority="1746">
      <formula>K342&gt;K309+K307</formula>
    </cfRule>
  </conditionalFormatting>
  <conditionalFormatting sqref="M309">
    <cfRule type="expression" dxfId="1099" priority="1745">
      <formula>M342&gt;M309+M307</formula>
    </cfRule>
  </conditionalFormatting>
  <conditionalFormatting sqref="O309">
    <cfRule type="expression" dxfId="1098" priority="1744">
      <formula>O342&gt;O309+O307</formula>
    </cfRule>
  </conditionalFormatting>
  <conditionalFormatting sqref="Q309">
    <cfRule type="expression" dxfId="1097" priority="1743">
      <formula>Q342&gt;Q309+Q307</formula>
    </cfRule>
  </conditionalFormatting>
  <conditionalFormatting sqref="S309">
    <cfRule type="expression" dxfId="1096" priority="1742">
      <formula>S342&gt;S309+S307</formula>
    </cfRule>
  </conditionalFormatting>
  <conditionalFormatting sqref="U309">
    <cfRule type="expression" dxfId="1095" priority="1741">
      <formula>U342&gt;U309+U307</formula>
    </cfRule>
  </conditionalFormatting>
  <conditionalFormatting sqref="W309">
    <cfRule type="expression" dxfId="1094" priority="1740">
      <formula>W342&gt;W309+W307</formula>
    </cfRule>
  </conditionalFormatting>
  <conditionalFormatting sqref="Y309">
    <cfRule type="expression" dxfId="1093" priority="1739">
      <formula>Y342&gt;Y309+Y307</formula>
    </cfRule>
  </conditionalFormatting>
  <conditionalFormatting sqref="M307">
    <cfRule type="expression" dxfId="1092" priority="1734">
      <formula>M342&gt;M309+M307</formula>
    </cfRule>
    <cfRule type="expression" dxfId="1091" priority="1737">
      <formula>M335&gt;M307</formula>
    </cfRule>
  </conditionalFormatting>
  <conditionalFormatting sqref="M307">
    <cfRule type="expression" dxfId="1090" priority="1736">
      <formula>M335&gt;M307</formula>
    </cfRule>
  </conditionalFormatting>
  <conditionalFormatting sqref="M307">
    <cfRule type="expression" dxfId="1089" priority="1735">
      <formula>M307&gt;M306</formula>
    </cfRule>
  </conditionalFormatting>
  <conditionalFormatting sqref="O307">
    <cfRule type="expression" dxfId="1088" priority="1730">
      <formula>O342&gt;O309+O307</formula>
    </cfRule>
    <cfRule type="expression" dxfId="1087" priority="1733">
      <formula>O335&gt;O307</formula>
    </cfRule>
  </conditionalFormatting>
  <conditionalFormatting sqref="O307">
    <cfRule type="expression" dxfId="1086" priority="1732">
      <formula>O335&gt;O307</formula>
    </cfRule>
  </conditionalFormatting>
  <conditionalFormatting sqref="O307">
    <cfRule type="expression" dxfId="1085" priority="1731">
      <formula>O307&gt;O306</formula>
    </cfRule>
  </conditionalFormatting>
  <conditionalFormatting sqref="Q307">
    <cfRule type="expression" dxfId="1084" priority="1726">
      <formula>Q342&gt;Q309+Q307</formula>
    </cfRule>
    <cfRule type="expression" dxfId="1083" priority="1729">
      <formula>Q335&gt;Q307</formula>
    </cfRule>
  </conditionalFormatting>
  <conditionalFormatting sqref="Q307">
    <cfRule type="expression" dxfId="1082" priority="1728">
      <formula>Q335&gt;Q307</formula>
    </cfRule>
  </conditionalFormatting>
  <conditionalFormatting sqref="Q307">
    <cfRule type="expression" dxfId="1081" priority="1727">
      <formula>Q307&gt;Q306</formula>
    </cfRule>
  </conditionalFormatting>
  <conditionalFormatting sqref="S307">
    <cfRule type="expression" dxfId="1080" priority="1722">
      <formula>S342&gt;S309+S307</formula>
    </cfRule>
    <cfRule type="expression" dxfId="1079" priority="1725">
      <formula>S335&gt;S307</formula>
    </cfRule>
  </conditionalFormatting>
  <conditionalFormatting sqref="S307">
    <cfRule type="expression" dxfId="1078" priority="1724">
      <formula>S335&gt;S307</formula>
    </cfRule>
  </conditionalFormatting>
  <conditionalFormatting sqref="S307">
    <cfRule type="expression" dxfId="1077" priority="1723">
      <formula>S307&gt;S306</formula>
    </cfRule>
  </conditionalFormatting>
  <conditionalFormatting sqref="U307">
    <cfRule type="expression" dxfId="1076" priority="1718">
      <formula>U342&gt;U309+U307</formula>
    </cfRule>
    <cfRule type="expression" dxfId="1075" priority="1721">
      <formula>U335&gt;U307</formula>
    </cfRule>
  </conditionalFormatting>
  <conditionalFormatting sqref="U307">
    <cfRule type="expression" dxfId="1074" priority="1720">
      <formula>U335&gt;U307</formula>
    </cfRule>
  </conditionalFormatting>
  <conditionalFormatting sqref="U307">
    <cfRule type="expression" dxfId="1073" priority="1719">
      <formula>U307&gt;U306</formula>
    </cfRule>
  </conditionalFormatting>
  <conditionalFormatting sqref="W307">
    <cfRule type="expression" dxfId="1072" priority="1714">
      <formula>W342&gt;W309+W307</formula>
    </cfRule>
    <cfRule type="expression" dxfId="1071" priority="1717">
      <formula>W335&gt;W307</formula>
    </cfRule>
  </conditionalFormatting>
  <conditionalFormatting sqref="W307">
    <cfRule type="expression" dxfId="1070" priority="1716">
      <formula>W335&gt;W307</formula>
    </cfRule>
  </conditionalFormatting>
  <conditionalFormatting sqref="W307">
    <cfRule type="expression" dxfId="1069" priority="1715">
      <formula>W307&gt;W306</formula>
    </cfRule>
  </conditionalFormatting>
  <conditionalFormatting sqref="Y307">
    <cfRule type="expression" dxfId="1068" priority="1710">
      <formula>Y342&gt;Y309+Y307</formula>
    </cfRule>
    <cfRule type="expression" dxfId="1067" priority="1713">
      <formula>Y335&gt;Y307</formula>
    </cfRule>
  </conditionalFormatting>
  <conditionalFormatting sqref="Y307">
    <cfRule type="expression" dxfId="1066" priority="1712">
      <formula>Y335&gt;Y307</formula>
    </cfRule>
  </conditionalFormatting>
  <conditionalFormatting sqref="Y307">
    <cfRule type="expression" dxfId="1065" priority="1711">
      <formula>Y307&gt;Y306</formula>
    </cfRule>
  </conditionalFormatting>
  <conditionalFormatting sqref="J112:AA112">
    <cfRule type="cellIs" dxfId="1064" priority="1709" operator="equal">
      <formula>0</formula>
    </cfRule>
  </conditionalFormatting>
  <conditionalFormatting sqref="AJ10">
    <cfRule type="cellIs" dxfId="1063" priority="1708" operator="equal">
      <formula>0</formula>
    </cfRule>
  </conditionalFormatting>
  <conditionalFormatting sqref="AJ8:AJ9">
    <cfRule type="cellIs" dxfId="1062" priority="1707" operator="equal">
      <formula>0</formula>
    </cfRule>
  </conditionalFormatting>
  <conditionalFormatting sqref="AJ434">
    <cfRule type="cellIs" dxfId="1061" priority="1705" operator="equal">
      <formula>0</formula>
    </cfRule>
  </conditionalFormatting>
  <conditionalFormatting sqref="AM434">
    <cfRule type="notContainsBlanks" dxfId="1060" priority="1706">
      <formula>LEN(TRIM(AM434))&gt;0</formula>
    </cfRule>
  </conditionalFormatting>
  <conditionalFormatting sqref="AK434">
    <cfRule type="notContainsBlanks" dxfId="1059" priority="1703">
      <formula>LEN(TRIM(AK434))&gt;0</formula>
    </cfRule>
  </conditionalFormatting>
  <conditionalFormatting sqref="J117:AA117">
    <cfRule type="expression" dxfId="1058" priority="1700">
      <formula>J118&gt;J117</formula>
    </cfRule>
  </conditionalFormatting>
  <conditionalFormatting sqref="D324:E324">
    <cfRule type="expression" dxfId="1057" priority="1697">
      <formula>D324&lt;&gt;D346</formula>
    </cfRule>
  </conditionalFormatting>
  <conditionalFormatting sqref="D346:E346">
    <cfRule type="expression" dxfId="1056" priority="1696">
      <formula>D324&lt;&gt;D346</formula>
    </cfRule>
  </conditionalFormatting>
  <conditionalFormatting sqref="J125:AA125">
    <cfRule type="expression" dxfId="1055" priority="1688">
      <formula>J125&gt;J124</formula>
    </cfRule>
  </conditionalFormatting>
  <conditionalFormatting sqref="J124:AA124">
    <cfRule type="expression" dxfId="1054" priority="1687">
      <formula>J125&gt;J124</formula>
    </cfRule>
  </conditionalFormatting>
  <conditionalFormatting sqref="J127:AA127">
    <cfRule type="expression" dxfId="1053" priority="1686">
      <formula>J127&gt;(J125-J126)</formula>
    </cfRule>
  </conditionalFormatting>
  <conditionalFormatting sqref="J125:AA125">
    <cfRule type="expression" dxfId="1052" priority="1685">
      <formula>J127&gt;(J125-J126)</formula>
    </cfRule>
  </conditionalFormatting>
  <conditionalFormatting sqref="M222">
    <cfRule type="expression" dxfId="1051" priority="1683">
      <formula>M223&gt;M222</formula>
    </cfRule>
  </conditionalFormatting>
  <conditionalFormatting sqref="O222">
    <cfRule type="cellIs" dxfId="1050" priority="1682" operator="equal">
      <formula>0</formula>
    </cfRule>
  </conditionalFormatting>
  <conditionalFormatting sqref="O222">
    <cfRule type="expression" dxfId="1049" priority="1680">
      <formula>O223&gt;O222</formula>
    </cfRule>
  </conditionalFormatting>
  <conditionalFormatting sqref="Q222">
    <cfRule type="cellIs" dxfId="1048" priority="1679" operator="equal">
      <formula>0</formula>
    </cfRule>
  </conditionalFormatting>
  <conditionalFormatting sqref="Q222">
    <cfRule type="expression" dxfId="1047" priority="1677">
      <formula>Q223&gt;Q222</formula>
    </cfRule>
  </conditionalFormatting>
  <conditionalFormatting sqref="S222">
    <cfRule type="cellIs" dxfId="1046" priority="1676" operator="equal">
      <formula>0</formula>
    </cfRule>
  </conditionalFormatting>
  <conditionalFormatting sqref="S222">
    <cfRule type="expression" dxfId="1045" priority="1674">
      <formula>S223&gt;S222</formula>
    </cfRule>
  </conditionalFormatting>
  <conditionalFormatting sqref="U222">
    <cfRule type="cellIs" dxfId="1044" priority="1673" operator="equal">
      <formula>0</formula>
    </cfRule>
  </conditionalFormatting>
  <conditionalFormatting sqref="U222">
    <cfRule type="expression" dxfId="1043" priority="1671">
      <formula>U223&gt;U222</formula>
    </cfRule>
  </conditionalFormatting>
  <conditionalFormatting sqref="W222">
    <cfRule type="cellIs" dxfId="1042" priority="1670" operator="equal">
      <formula>0</formula>
    </cfRule>
  </conditionalFormatting>
  <conditionalFormatting sqref="W222">
    <cfRule type="expression" dxfId="1041" priority="1668">
      <formula>W223&gt;W222</formula>
    </cfRule>
  </conditionalFormatting>
  <conditionalFormatting sqref="Y222">
    <cfRule type="cellIs" dxfId="1040" priority="1667" operator="equal">
      <formula>0</formula>
    </cfRule>
  </conditionalFormatting>
  <conditionalFormatting sqref="Y222">
    <cfRule type="expression" dxfId="1039" priority="1665">
      <formula>Y223&gt;Y222</formula>
    </cfRule>
  </conditionalFormatting>
  <conditionalFormatting sqref="AC222 AE222 AG222 AI222">
    <cfRule type="cellIs" dxfId="1038" priority="1664" operator="equal">
      <formula>0</formula>
    </cfRule>
  </conditionalFormatting>
  <conditionalFormatting sqref="AC222 AE222 AG222 AI222">
    <cfRule type="expression" dxfId="1037" priority="1662">
      <formula>AC223&gt;AC222</formula>
    </cfRule>
  </conditionalFormatting>
  <conditionalFormatting sqref="M230">
    <cfRule type="cellIs" dxfId="1036" priority="1661" operator="equal">
      <formula>0</formula>
    </cfRule>
  </conditionalFormatting>
  <conditionalFormatting sqref="M230">
    <cfRule type="expression" dxfId="1035" priority="1659">
      <formula>M231&gt;M230</formula>
    </cfRule>
  </conditionalFormatting>
  <conditionalFormatting sqref="O230">
    <cfRule type="cellIs" dxfId="1034" priority="1658" operator="equal">
      <formula>0</formula>
    </cfRule>
  </conditionalFormatting>
  <conditionalFormatting sqref="O230">
    <cfRule type="expression" dxfId="1033" priority="1656">
      <formula>O231&gt;O230</formula>
    </cfRule>
  </conditionalFormatting>
  <conditionalFormatting sqref="Q230">
    <cfRule type="cellIs" dxfId="1032" priority="1655" operator="equal">
      <formula>0</formula>
    </cfRule>
  </conditionalFormatting>
  <conditionalFormatting sqref="Q230">
    <cfRule type="expression" dxfId="1031" priority="1653">
      <formula>Q231&gt;Q230</formula>
    </cfRule>
  </conditionalFormatting>
  <conditionalFormatting sqref="S230">
    <cfRule type="cellIs" dxfId="1030" priority="1652" operator="equal">
      <formula>0</formula>
    </cfRule>
  </conditionalFormatting>
  <conditionalFormatting sqref="S230">
    <cfRule type="expression" dxfId="1029" priority="1650">
      <formula>S231&gt;S230</formula>
    </cfRule>
  </conditionalFormatting>
  <conditionalFormatting sqref="U230">
    <cfRule type="cellIs" dxfId="1028" priority="1649" operator="equal">
      <formula>0</formula>
    </cfRule>
  </conditionalFormatting>
  <conditionalFormatting sqref="U230">
    <cfRule type="expression" dxfId="1027" priority="1647">
      <formula>U231&gt;U230</formula>
    </cfRule>
  </conditionalFormatting>
  <conditionalFormatting sqref="W230">
    <cfRule type="cellIs" dxfId="1026" priority="1646" operator="equal">
      <formula>0</formula>
    </cfRule>
  </conditionalFormatting>
  <conditionalFormatting sqref="W230">
    <cfRule type="expression" dxfId="1025" priority="1644">
      <formula>W231&gt;W230</formula>
    </cfRule>
  </conditionalFormatting>
  <conditionalFormatting sqref="Y230">
    <cfRule type="cellIs" dxfId="1024" priority="1643" operator="equal">
      <formula>0</formula>
    </cfRule>
  </conditionalFormatting>
  <conditionalFormatting sqref="Y230">
    <cfRule type="expression" dxfId="1023" priority="1641">
      <formula>Y231&gt;Y230</formula>
    </cfRule>
  </conditionalFormatting>
  <conditionalFormatting sqref="AC230 AE230 AG230 AI230">
    <cfRule type="cellIs" dxfId="1022" priority="1640" operator="equal">
      <formula>0</formula>
    </cfRule>
  </conditionalFormatting>
  <conditionalFormatting sqref="AC230 AE230 AG230 AI230">
    <cfRule type="expression" dxfId="1021" priority="1638">
      <formula>AC231&gt;AC230</formula>
    </cfRule>
  </conditionalFormatting>
  <conditionalFormatting sqref="M214:M215">
    <cfRule type="cellIs" dxfId="1020" priority="1637" operator="equal">
      <formula>0</formula>
    </cfRule>
  </conditionalFormatting>
  <conditionalFormatting sqref="M215">
    <cfRule type="expression" dxfId="1019" priority="1613">
      <formula>M215&lt;(M216+M217+M218)</formula>
    </cfRule>
    <cfRule type="expression" dxfId="1018" priority="1636">
      <formula>M215&gt;M214</formula>
    </cfRule>
  </conditionalFormatting>
  <conditionalFormatting sqref="M214">
    <cfRule type="expression" dxfId="1017" priority="1635">
      <formula>M215&gt;M214</formula>
    </cfRule>
  </conditionalFormatting>
  <conditionalFormatting sqref="O214">
    <cfRule type="cellIs" dxfId="1016" priority="1634" operator="equal">
      <formula>0</formula>
    </cfRule>
  </conditionalFormatting>
  <conditionalFormatting sqref="O214">
    <cfRule type="expression" dxfId="1015" priority="1632">
      <formula>O215&gt;O214</formula>
    </cfRule>
  </conditionalFormatting>
  <conditionalFormatting sqref="Q214">
    <cfRule type="cellIs" dxfId="1014" priority="1631" operator="equal">
      <formula>0</formula>
    </cfRule>
  </conditionalFormatting>
  <conditionalFormatting sqref="Q214">
    <cfRule type="expression" dxfId="1013" priority="1629">
      <formula>Q215&gt;Q214</formula>
    </cfRule>
  </conditionalFormatting>
  <conditionalFormatting sqref="S214">
    <cfRule type="cellIs" dxfId="1012" priority="1628" operator="equal">
      <formula>0</formula>
    </cfRule>
  </conditionalFormatting>
  <conditionalFormatting sqref="S214">
    <cfRule type="expression" dxfId="1011" priority="1626">
      <formula>S215&gt;S214</formula>
    </cfRule>
  </conditionalFormatting>
  <conditionalFormatting sqref="U214">
    <cfRule type="cellIs" dxfId="1010" priority="1625" operator="equal">
      <formula>0</formula>
    </cfRule>
  </conditionalFormatting>
  <conditionalFormatting sqref="U214">
    <cfRule type="expression" dxfId="1009" priority="1623">
      <formula>U215&gt;U214</formula>
    </cfRule>
  </conditionalFormatting>
  <conditionalFormatting sqref="W214">
    <cfRule type="cellIs" dxfId="1008" priority="1622" operator="equal">
      <formula>0</formula>
    </cfRule>
  </conditionalFormatting>
  <conditionalFormatting sqref="W214">
    <cfRule type="expression" dxfId="1007" priority="1620">
      <formula>W215&gt;W214</formula>
    </cfRule>
  </conditionalFormatting>
  <conditionalFormatting sqref="Y214">
    <cfRule type="cellIs" dxfId="1006" priority="1619" operator="equal">
      <formula>0</formula>
    </cfRule>
  </conditionalFormatting>
  <conditionalFormatting sqref="Y214">
    <cfRule type="expression" dxfId="1005" priority="1617">
      <formula>Y215&gt;Y214</formula>
    </cfRule>
  </conditionalFormatting>
  <conditionalFormatting sqref="AC214 AE214 AG214 AI214">
    <cfRule type="cellIs" dxfId="1004" priority="1616" operator="equal">
      <formula>0</formula>
    </cfRule>
  </conditionalFormatting>
  <conditionalFormatting sqref="AC214 AE214 AG214 AI214">
    <cfRule type="expression" dxfId="1003" priority="1614">
      <formula>AC215&gt;AC214</formula>
    </cfRule>
  </conditionalFormatting>
  <conditionalFormatting sqref="O216">
    <cfRule type="expression" dxfId="1002" priority="1603">
      <formula>O215&lt;(O216+O217+O218)</formula>
    </cfRule>
    <cfRule type="expression" dxfId="1001" priority="1609">
      <formula>(O218+O217+O216)&gt;O214</formula>
    </cfRule>
  </conditionalFormatting>
  <conditionalFormatting sqref="O217">
    <cfRule type="expression" dxfId="1000" priority="1602">
      <formula>O215&lt;(O216+O217+O218)</formula>
    </cfRule>
    <cfRule type="expression" dxfId="999" priority="1608">
      <formula>(O218+O217+O216)&gt;O214</formula>
    </cfRule>
  </conditionalFormatting>
  <conditionalFormatting sqref="O218">
    <cfRule type="expression" dxfId="998" priority="1601">
      <formula>O215&lt;(O216+O217+O218)</formula>
    </cfRule>
    <cfRule type="expression" dxfId="997" priority="1607">
      <formula>(O218+O217+O216)&gt;O214</formula>
    </cfRule>
  </conditionalFormatting>
  <conditionalFormatting sqref="O215">
    <cfRule type="cellIs" dxfId="996" priority="1606" operator="equal">
      <formula>0</formula>
    </cfRule>
  </conditionalFormatting>
  <conditionalFormatting sqref="O215">
    <cfRule type="expression" dxfId="995" priority="1604">
      <formula>O215&lt;(O216+O217+O218)</formula>
    </cfRule>
    <cfRule type="expression" dxfId="994" priority="1605">
      <formula>O215&gt;O214</formula>
    </cfRule>
  </conditionalFormatting>
  <conditionalFormatting sqref="Q216">
    <cfRule type="expression" dxfId="993" priority="1594">
      <formula>Q215&lt;(Q216+Q217+Q218)</formula>
    </cfRule>
    <cfRule type="expression" dxfId="992" priority="1600">
      <formula>(Q218+Q217+Q216)&gt;Q214</formula>
    </cfRule>
  </conditionalFormatting>
  <conditionalFormatting sqref="Q217">
    <cfRule type="expression" dxfId="991" priority="1593">
      <formula>Q215&lt;(Q216+Q217+Q218)</formula>
    </cfRule>
    <cfRule type="expression" dxfId="990" priority="1599">
      <formula>(Q218+Q217+Q216)&gt;Q214</formula>
    </cfRule>
  </conditionalFormatting>
  <conditionalFormatting sqref="Q218">
    <cfRule type="expression" dxfId="989" priority="1592">
      <formula>Q215&lt;(Q216+Q217+Q218)</formula>
    </cfRule>
    <cfRule type="expression" dxfId="988" priority="1598">
      <formula>(Q218+Q217+Q216)&gt;Q214</formula>
    </cfRule>
  </conditionalFormatting>
  <conditionalFormatting sqref="Q215">
    <cfRule type="cellIs" dxfId="987" priority="1597" operator="equal">
      <formula>0</formula>
    </cfRule>
  </conditionalFormatting>
  <conditionalFormatting sqref="Q215">
    <cfRule type="expression" dxfId="986" priority="1595">
      <formula>Q215&lt;(Q216+Q217+Q218)</formula>
    </cfRule>
    <cfRule type="expression" dxfId="985" priority="1596">
      <formula>Q215&gt;Q214</formula>
    </cfRule>
  </conditionalFormatting>
  <conditionalFormatting sqref="S216">
    <cfRule type="expression" dxfId="984" priority="1585">
      <formula>S215&lt;(S216+S217+S218)</formula>
    </cfRule>
    <cfRule type="expression" dxfId="983" priority="1591">
      <formula>(S218+S217+S216)&gt;S214</formula>
    </cfRule>
  </conditionalFormatting>
  <conditionalFormatting sqref="S217">
    <cfRule type="expression" dxfId="982" priority="1584">
      <formula>S215&lt;(S216+S217+S218)</formula>
    </cfRule>
    <cfRule type="expression" dxfId="981" priority="1590">
      <formula>(S218+S217+S216)&gt;S214</formula>
    </cfRule>
  </conditionalFormatting>
  <conditionalFormatting sqref="S218">
    <cfRule type="expression" dxfId="980" priority="1583">
      <formula>S215&lt;(S216+S217+S218)</formula>
    </cfRule>
    <cfRule type="expression" dxfId="979" priority="1589">
      <formula>(S218+S217+S216)&gt;S214</formula>
    </cfRule>
  </conditionalFormatting>
  <conditionalFormatting sqref="S215">
    <cfRule type="cellIs" dxfId="978" priority="1588" operator="equal">
      <formula>0</formula>
    </cfRule>
  </conditionalFormatting>
  <conditionalFormatting sqref="S215">
    <cfRule type="expression" dxfId="977" priority="1586">
      <formula>S215&lt;(S216+S217+S218)</formula>
    </cfRule>
    <cfRule type="expression" dxfId="976" priority="1587">
      <formula>S215&gt;S214</formula>
    </cfRule>
  </conditionalFormatting>
  <conditionalFormatting sqref="U216">
    <cfRule type="expression" dxfId="975" priority="1576">
      <formula>U215&lt;(U216+U217+U218)</formula>
    </cfRule>
    <cfRule type="expression" dxfId="974" priority="1582">
      <formula>(U218+U217+U216)&gt;U214</formula>
    </cfRule>
  </conditionalFormatting>
  <conditionalFormatting sqref="U217">
    <cfRule type="expression" dxfId="973" priority="1575">
      <formula>U215&lt;(U216+U217+U218)</formula>
    </cfRule>
    <cfRule type="expression" dxfId="972" priority="1581">
      <formula>(U218+U217+U216)&gt;U214</formula>
    </cfRule>
  </conditionalFormatting>
  <conditionalFormatting sqref="U218">
    <cfRule type="expression" dxfId="971" priority="1574">
      <formula>U215&lt;(U216+U217+U218)</formula>
    </cfRule>
    <cfRule type="expression" dxfId="970" priority="1580">
      <formula>(U218+U217+U216)&gt;U214</formula>
    </cfRule>
  </conditionalFormatting>
  <conditionalFormatting sqref="U215">
    <cfRule type="cellIs" dxfId="969" priority="1579" operator="equal">
      <formula>0</formula>
    </cfRule>
  </conditionalFormatting>
  <conditionalFormatting sqref="U215">
    <cfRule type="expression" dxfId="968" priority="1577">
      <formula>U215&lt;(U216+U217+U218)</formula>
    </cfRule>
    <cfRule type="expression" dxfId="967" priority="1578">
      <formula>U215&gt;U214</formula>
    </cfRule>
  </conditionalFormatting>
  <conditionalFormatting sqref="W216">
    <cfRule type="expression" dxfId="966" priority="1567">
      <formula>W215&lt;(W216+W217+W218)</formula>
    </cfRule>
    <cfRule type="expression" dxfId="965" priority="1573">
      <formula>(W218+W217+W216)&gt;W214</formula>
    </cfRule>
  </conditionalFormatting>
  <conditionalFormatting sqref="W217">
    <cfRule type="expression" dxfId="964" priority="1566">
      <formula>W215&lt;(W216+W217+W218)</formula>
    </cfRule>
    <cfRule type="expression" dxfId="963" priority="1572">
      <formula>(W218+W217+W216)&gt;W214</formula>
    </cfRule>
  </conditionalFormatting>
  <conditionalFormatting sqref="W218">
    <cfRule type="expression" dxfId="962" priority="1565">
      <formula>W215&lt;(W216+W217+W218)</formula>
    </cfRule>
    <cfRule type="expression" dxfId="961" priority="1571">
      <formula>(W218+W217+W216)&gt;W214</formula>
    </cfRule>
  </conditionalFormatting>
  <conditionalFormatting sqref="W215">
    <cfRule type="cellIs" dxfId="960" priority="1570" operator="equal">
      <formula>0</formula>
    </cfRule>
  </conditionalFormatting>
  <conditionalFormatting sqref="W215">
    <cfRule type="expression" dxfId="959" priority="1568">
      <formula>W215&lt;(W216+W217+W218)</formula>
    </cfRule>
    <cfRule type="expression" dxfId="958" priority="1569">
      <formula>W215&gt;W214</formula>
    </cfRule>
  </conditionalFormatting>
  <conditionalFormatting sqref="Y216">
    <cfRule type="expression" dxfId="957" priority="1558">
      <formula>Y215&lt;(Y216+Y217+Y218)</formula>
    </cfRule>
    <cfRule type="expression" dxfId="956" priority="1564">
      <formula>(Y218+Y217+Y216)&gt;Y214</formula>
    </cfRule>
  </conditionalFormatting>
  <conditionalFormatting sqref="Y217">
    <cfRule type="expression" dxfId="955" priority="1557">
      <formula>Y215&lt;(Y216+Y217+Y218)</formula>
    </cfRule>
    <cfRule type="expression" dxfId="954" priority="1563">
      <formula>(Y218+Y217+Y216)&gt;Y214</formula>
    </cfRule>
  </conditionalFormatting>
  <conditionalFormatting sqref="Y218">
    <cfRule type="expression" dxfId="953" priority="1556">
      <formula>Y215&lt;(Y216+Y217+Y218)</formula>
    </cfRule>
    <cfRule type="expression" dxfId="952" priority="1562">
      <formula>(Y218+Y217+Y216)&gt;Y214</formula>
    </cfRule>
  </conditionalFormatting>
  <conditionalFormatting sqref="Y215">
    <cfRule type="cellIs" dxfId="951" priority="1561" operator="equal">
      <formula>0</formula>
    </cfRule>
  </conditionalFormatting>
  <conditionalFormatting sqref="Y215">
    <cfRule type="expression" dxfId="950" priority="1559">
      <formula>Y215&lt;(Y216+Y217+Y218)</formula>
    </cfRule>
    <cfRule type="expression" dxfId="949" priority="1560">
      <formula>Y215&gt;Y214</formula>
    </cfRule>
  </conditionalFormatting>
  <conditionalFormatting sqref="AC216 AE216 AG216 AI216">
    <cfRule type="expression" dxfId="948" priority="1549">
      <formula>AC215&lt;(AC216+AC217+AC218)</formula>
    </cfRule>
    <cfRule type="expression" dxfId="947" priority="1555">
      <formula>(AC218+AC217+AC216)&gt;AC214</formula>
    </cfRule>
  </conditionalFormatting>
  <conditionalFormatting sqref="AC217 AE217 AG217 AI217">
    <cfRule type="expression" dxfId="946" priority="1548">
      <formula>AC215&lt;(AC216+AC217+AC218)</formula>
    </cfRule>
    <cfRule type="expression" dxfId="945" priority="1554">
      <formula>(AC218+AC217+AC216)&gt;AC214</formula>
    </cfRule>
  </conditionalFormatting>
  <conditionalFormatting sqref="AC218 AE218 AG218 AI218">
    <cfRule type="expression" dxfId="944" priority="1547">
      <formula>AC215&lt;(AC216+AC217+AC218)</formula>
    </cfRule>
    <cfRule type="expression" dxfId="943" priority="1553">
      <formula>(AC218+AC217+AC216)&gt;AC214</formula>
    </cfRule>
  </conditionalFormatting>
  <conditionalFormatting sqref="AC215 AE215 AG215 AI215">
    <cfRule type="cellIs" dxfId="942" priority="1552" operator="equal">
      <formula>0</formula>
    </cfRule>
  </conditionalFormatting>
  <conditionalFormatting sqref="AC215 AE215 AG215 AI215">
    <cfRule type="expression" dxfId="941" priority="1550">
      <formula>AC215&lt;(AC216+AC217+AC218)</formula>
    </cfRule>
    <cfRule type="expression" dxfId="940" priority="1551">
      <formula>AC215&gt;AC214</formula>
    </cfRule>
  </conditionalFormatting>
  <conditionalFormatting sqref="M224">
    <cfRule type="expression" dxfId="939" priority="1540">
      <formula>M223&lt;(M224+M225+M226)</formula>
    </cfRule>
    <cfRule type="expression" dxfId="938" priority="1546">
      <formula>(M226+M225+M224)&gt;M222</formula>
    </cfRule>
  </conditionalFormatting>
  <conditionalFormatting sqref="M225">
    <cfRule type="expression" dxfId="937" priority="1539">
      <formula>M223&lt;(M224+M225+M226)</formula>
    </cfRule>
    <cfRule type="expression" dxfId="936" priority="1545">
      <formula>(M226+M225+M224)&gt;M222</formula>
    </cfRule>
  </conditionalFormatting>
  <conditionalFormatting sqref="M226">
    <cfRule type="expression" dxfId="935" priority="1538">
      <formula>M223&lt;(M224+M225+M226)</formula>
    </cfRule>
    <cfRule type="expression" dxfId="934" priority="1544">
      <formula>(M226+M225+M224)&gt;M222</formula>
    </cfRule>
  </conditionalFormatting>
  <conditionalFormatting sqref="M223">
    <cfRule type="cellIs" dxfId="933" priority="1543" operator="equal">
      <formula>0</formula>
    </cfRule>
  </conditionalFormatting>
  <conditionalFormatting sqref="M223">
    <cfRule type="expression" dxfId="932" priority="1541">
      <formula>M223&lt;(M224+M225+M226)</formula>
    </cfRule>
    <cfRule type="expression" dxfId="931" priority="1542">
      <formula>M223&gt;M222</formula>
    </cfRule>
  </conditionalFormatting>
  <conditionalFormatting sqref="O224">
    <cfRule type="expression" dxfId="930" priority="1531">
      <formula>O223&lt;(O224+O225+O226)</formula>
    </cfRule>
    <cfRule type="expression" dxfId="929" priority="1537">
      <formula>(O226+O225+O224)&gt;O222</formula>
    </cfRule>
  </conditionalFormatting>
  <conditionalFormatting sqref="O225">
    <cfRule type="expression" dxfId="928" priority="1530">
      <formula>O223&lt;(O224+O225+O226)</formula>
    </cfRule>
    <cfRule type="expression" dxfId="927" priority="1536">
      <formula>(O226+O225+O224)&gt;O222</formula>
    </cfRule>
  </conditionalFormatting>
  <conditionalFormatting sqref="O226">
    <cfRule type="expression" dxfId="926" priority="1529">
      <formula>O223&lt;(O224+O225+O226)</formula>
    </cfRule>
    <cfRule type="expression" dxfId="925" priority="1535">
      <formula>(O226+O225+O224)&gt;O222</formula>
    </cfRule>
  </conditionalFormatting>
  <conditionalFormatting sqref="O223">
    <cfRule type="cellIs" dxfId="924" priority="1534" operator="equal">
      <formula>0</formula>
    </cfRule>
  </conditionalFormatting>
  <conditionalFormatting sqref="O223">
    <cfRule type="expression" dxfId="923" priority="1532">
      <formula>O223&lt;(O224+O225+O226)</formula>
    </cfRule>
    <cfRule type="expression" dxfId="922" priority="1533">
      <formula>O223&gt;O222</formula>
    </cfRule>
  </conditionalFormatting>
  <conditionalFormatting sqref="Q224">
    <cfRule type="expression" dxfId="921" priority="1522">
      <formula>Q223&lt;(Q224+Q225+Q226)</formula>
    </cfRule>
    <cfRule type="expression" dxfId="920" priority="1528">
      <formula>(Q226+Q225+Q224)&gt;Q222</formula>
    </cfRule>
  </conditionalFormatting>
  <conditionalFormatting sqref="Q225">
    <cfRule type="expression" dxfId="919" priority="1521">
      <formula>Q223&lt;(Q224+Q225+Q226)</formula>
    </cfRule>
    <cfRule type="expression" dxfId="918" priority="1527">
      <formula>(Q226+Q225+Q224)&gt;Q222</formula>
    </cfRule>
  </conditionalFormatting>
  <conditionalFormatting sqref="Q226">
    <cfRule type="expression" dxfId="917" priority="1520">
      <formula>Q223&lt;(Q224+Q225+Q226)</formula>
    </cfRule>
    <cfRule type="expression" dxfId="916" priority="1526">
      <formula>(Q226+Q225+Q224)&gt;Q222</formula>
    </cfRule>
  </conditionalFormatting>
  <conditionalFormatting sqref="Q223">
    <cfRule type="cellIs" dxfId="915" priority="1525" operator="equal">
      <formula>0</formula>
    </cfRule>
  </conditionalFormatting>
  <conditionalFormatting sqref="Q223">
    <cfRule type="expression" dxfId="914" priority="1523">
      <formula>Q223&lt;(Q224+Q225+Q226)</formula>
    </cfRule>
    <cfRule type="expression" dxfId="913" priority="1524">
      <formula>Q223&gt;Q222</formula>
    </cfRule>
  </conditionalFormatting>
  <conditionalFormatting sqref="S224">
    <cfRule type="expression" dxfId="912" priority="1513">
      <formula>S223&lt;(S224+S225+S226)</formula>
    </cfRule>
    <cfRule type="expression" dxfId="911" priority="1519">
      <formula>(S226+S225+S224)&gt;S222</formula>
    </cfRule>
  </conditionalFormatting>
  <conditionalFormatting sqref="S225">
    <cfRule type="expression" dxfId="910" priority="1512">
      <formula>S223&lt;(S224+S225+S226)</formula>
    </cfRule>
    <cfRule type="expression" dxfId="909" priority="1518">
      <formula>(S226+S225+S224)&gt;S222</formula>
    </cfRule>
  </conditionalFormatting>
  <conditionalFormatting sqref="S226">
    <cfRule type="expression" dxfId="908" priority="1511">
      <formula>S223&lt;(S224+S225+S226)</formula>
    </cfRule>
    <cfRule type="expression" dxfId="907" priority="1517">
      <formula>(S226+S225+S224)&gt;S222</formula>
    </cfRule>
  </conditionalFormatting>
  <conditionalFormatting sqref="S223">
    <cfRule type="cellIs" dxfId="906" priority="1516" operator="equal">
      <formula>0</formula>
    </cfRule>
  </conditionalFormatting>
  <conditionalFormatting sqref="S223">
    <cfRule type="expression" dxfId="905" priority="1514">
      <formula>S223&lt;(S224+S225+S226)</formula>
    </cfRule>
    <cfRule type="expression" dxfId="904" priority="1515">
      <formula>S223&gt;S222</formula>
    </cfRule>
  </conditionalFormatting>
  <conditionalFormatting sqref="U224">
    <cfRule type="expression" dxfId="903" priority="1504">
      <formula>U223&lt;(U224+U225+U226)</formula>
    </cfRule>
    <cfRule type="expression" dxfId="902" priority="1510">
      <formula>(U226+U225+U224)&gt;U222</formula>
    </cfRule>
  </conditionalFormatting>
  <conditionalFormatting sqref="U225">
    <cfRule type="expression" dxfId="901" priority="1503">
      <formula>U223&lt;(U224+U225+U226)</formula>
    </cfRule>
    <cfRule type="expression" dxfId="900" priority="1509">
      <formula>(U226+U225+U224)&gt;U222</formula>
    </cfRule>
  </conditionalFormatting>
  <conditionalFormatting sqref="U226">
    <cfRule type="expression" dxfId="899" priority="1502">
      <formula>U223&lt;(U224+U225+U226)</formula>
    </cfRule>
    <cfRule type="expression" dxfId="898" priority="1508">
      <formula>(U226+U225+U224)&gt;U222</formula>
    </cfRule>
  </conditionalFormatting>
  <conditionalFormatting sqref="U223">
    <cfRule type="cellIs" dxfId="897" priority="1507" operator="equal">
      <formula>0</formula>
    </cfRule>
  </conditionalFormatting>
  <conditionalFormatting sqref="U223">
    <cfRule type="expression" dxfId="896" priority="1505">
      <formula>U223&lt;(U224+U225+U226)</formula>
    </cfRule>
    <cfRule type="expression" dxfId="895" priority="1506">
      <formula>U223&gt;U222</formula>
    </cfRule>
  </conditionalFormatting>
  <conditionalFormatting sqref="W224">
    <cfRule type="expression" dxfId="894" priority="1495">
      <formula>W223&lt;(W224+W225+W226)</formula>
    </cfRule>
    <cfRule type="expression" dxfId="893" priority="1501">
      <formula>(W226+W225+W224)&gt;W222</formula>
    </cfRule>
  </conditionalFormatting>
  <conditionalFormatting sqref="W225">
    <cfRule type="expression" dxfId="892" priority="1494">
      <formula>W223&lt;(W224+W225+W226)</formula>
    </cfRule>
    <cfRule type="expression" dxfId="891" priority="1500">
      <formula>(W226+W225+W224)&gt;W222</formula>
    </cfRule>
  </conditionalFormatting>
  <conditionalFormatting sqref="W226">
    <cfRule type="expression" dxfId="890" priority="1493">
      <formula>W223&lt;(W224+W225+W226)</formula>
    </cfRule>
    <cfRule type="expression" dxfId="889" priority="1499">
      <formula>(W226+W225+W224)&gt;W222</formula>
    </cfRule>
  </conditionalFormatting>
  <conditionalFormatting sqref="W223">
    <cfRule type="cellIs" dxfId="888" priority="1498" operator="equal">
      <formula>0</formula>
    </cfRule>
  </conditionalFormatting>
  <conditionalFormatting sqref="W223">
    <cfRule type="expression" dxfId="887" priority="1496">
      <formula>W223&lt;(W224+W225+W226)</formula>
    </cfRule>
    <cfRule type="expression" dxfId="886" priority="1497">
      <formula>W223&gt;W222</formula>
    </cfRule>
  </conditionalFormatting>
  <conditionalFormatting sqref="Y224">
    <cfRule type="expression" dxfId="885" priority="1486">
      <formula>Y223&lt;(Y224+Y225+Y226)</formula>
    </cfRule>
    <cfRule type="expression" dxfId="884" priority="1492">
      <formula>(Y226+Y225+Y224)&gt;Y222</formula>
    </cfRule>
  </conditionalFormatting>
  <conditionalFormatting sqref="Y225">
    <cfRule type="expression" dxfId="883" priority="1485">
      <formula>Y223&lt;(Y224+Y225+Y226)</formula>
    </cfRule>
    <cfRule type="expression" dxfId="882" priority="1491">
      <formula>(Y226+Y225+Y224)&gt;Y222</formula>
    </cfRule>
  </conditionalFormatting>
  <conditionalFormatting sqref="Y226">
    <cfRule type="expression" dxfId="881" priority="1484">
      <formula>Y223&lt;(Y224+Y225+Y226)</formula>
    </cfRule>
    <cfRule type="expression" dxfId="880" priority="1490">
      <formula>(Y226+Y225+Y224)&gt;Y222</formula>
    </cfRule>
  </conditionalFormatting>
  <conditionalFormatting sqref="Y223">
    <cfRule type="cellIs" dxfId="879" priority="1489" operator="equal">
      <formula>0</formula>
    </cfRule>
  </conditionalFormatting>
  <conditionalFormatting sqref="Y223">
    <cfRule type="expression" dxfId="878" priority="1487">
      <formula>Y223&lt;(Y224+Y225+Y226)</formula>
    </cfRule>
    <cfRule type="expression" dxfId="877" priority="1488">
      <formula>Y223&gt;Y222</formula>
    </cfRule>
  </conditionalFormatting>
  <conditionalFormatting sqref="AC224 AE224 AG224 AI224">
    <cfRule type="expression" dxfId="876" priority="1477">
      <formula>AC223&lt;(AC224+AC225+AC226)</formula>
    </cfRule>
    <cfRule type="expression" dxfId="875" priority="1483">
      <formula>(AC226+AC225+AC224)&gt;AC222</formula>
    </cfRule>
  </conditionalFormatting>
  <conditionalFormatting sqref="AC225 AE225 AG225 AI225">
    <cfRule type="expression" dxfId="874" priority="1476">
      <formula>AC223&lt;(AC224+AC225+AC226)</formula>
    </cfRule>
    <cfRule type="expression" dxfId="873" priority="1482">
      <formula>(AC226+AC225+AC224)&gt;AC222</formula>
    </cfRule>
  </conditionalFormatting>
  <conditionalFormatting sqref="AC226 AE226 AG226 AI226">
    <cfRule type="expression" dxfId="872" priority="1475">
      <formula>AC223&lt;(AC224+AC225+AC226)</formula>
    </cfRule>
    <cfRule type="expression" dxfId="871" priority="1481">
      <formula>(AC226+AC225+AC224)&gt;AC222</formula>
    </cfRule>
  </conditionalFormatting>
  <conditionalFormatting sqref="AC223 AE223 AG223 AI223">
    <cfRule type="cellIs" dxfId="870" priority="1480" operator="equal">
      <formula>0</formula>
    </cfRule>
  </conditionalFormatting>
  <conditionalFormatting sqref="AC223 AE223 AG223 AI223">
    <cfRule type="expression" dxfId="869" priority="1478">
      <formula>AC223&lt;(AC224+AC225+AC226)</formula>
    </cfRule>
    <cfRule type="expression" dxfId="868" priority="1479">
      <formula>AC223&gt;AC222</formula>
    </cfRule>
  </conditionalFormatting>
  <conditionalFormatting sqref="M232">
    <cfRule type="expression" dxfId="867" priority="1468">
      <formula>M231&lt;(M232+M233+M234)</formula>
    </cfRule>
    <cfRule type="expression" dxfId="866" priority="1474">
      <formula>(M234+M233+M232)&gt;M230</formula>
    </cfRule>
  </conditionalFormatting>
  <conditionalFormatting sqref="M233">
    <cfRule type="expression" dxfId="865" priority="1467">
      <formula>M231&lt;(M232+M233+M234)</formula>
    </cfRule>
    <cfRule type="expression" dxfId="864" priority="1473">
      <formula>(M234+M233+M232)&gt;M230</formula>
    </cfRule>
  </conditionalFormatting>
  <conditionalFormatting sqref="M234">
    <cfRule type="expression" dxfId="863" priority="1466">
      <formula>M231&lt;(M232+M233+M234)</formula>
    </cfRule>
    <cfRule type="expression" dxfId="862" priority="1472">
      <formula>(M234+M233+M232)&gt;M230</formula>
    </cfRule>
  </conditionalFormatting>
  <conditionalFormatting sqref="M231">
    <cfRule type="cellIs" dxfId="861" priority="1471" operator="equal">
      <formula>0</formula>
    </cfRule>
  </conditionalFormatting>
  <conditionalFormatting sqref="M231">
    <cfRule type="expression" dxfId="860" priority="1469">
      <formula>M231&lt;(M232+M233+M234)</formula>
    </cfRule>
    <cfRule type="expression" dxfId="859" priority="1470">
      <formula>M231&gt;M230</formula>
    </cfRule>
  </conditionalFormatting>
  <conditionalFormatting sqref="O232">
    <cfRule type="expression" dxfId="858" priority="1459">
      <formula>O231&lt;(O232+O233+O234)</formula>
    </cfRule>
    <cfRule type="expression" dxfId="857" priority="1465">
      <formula>(O234+O233+O232)&gt;O230</formula>
    </cfRule>
  </conditionalFormatting>
  <conditionalFormatting sqref="O233">
    <cfRule type="expression" dxfId="856" priority="1458">
      <formula>O231&lt;(O232+O233+O234)</formula>
    </cfRule>
    <cfRule type="expression" dxfId="855" priority="1464">
      <formula>(O234+O233+O232)&gt;O230</formula>
    </cfRule>
  </conditionalFormatting>
  <conditionalFormatting sqref="O234">
    <cfRule type="expression" dxfId="854" priority="1457">
      <formula>O231&lt;(O232+O233+O234)</formula>
    </cfRule>
    <cfRule type="expression" dxfId="853" priority="1463">
      <formula>(O234+O233+O232)&gt;O230</formula>
    </cfRule>
  </conditionalFormatting>
  <conditionalFormatting sqref="O231">
    <cfRule type="cellIs" dxfId="852" priority="1462" operator="equal">
      <formula>0</formula>
    </cfRule>
  </conditionalFormatting>
  <conditionalFormatting sqref="O231">
    <cfRule type="expression" dxfId="851" priority="1460">
      <formula>O231&lt;(O232+O233+O234)</formula>
    </cfRule>
    <cfRule type="expression" dxfId="850" priority="1461">
      <formula>O231&gt;O230</formula>
    </cfRule>
  </conditionalFormatting>
  <conditionalFormatting sqref="Q232">
    <cfRule type="expression" dxfId="849" priority="1450">
      <formula>Q231&lt;(Q232+Q233+Q234)</formula>
    </cfRule>
    <cfRule type="expression" dxfId="848" priority="1456">
      <formula>(Q234+Q233+Q232)&gt;Q230</formula>
    </cfRule>
  </conditionalFormatting>
  <conditionalFormatting sqref="Q233">
    <cfRule type="expression" dxfId="847" priority="1449">
      <formula>Q231&lt;(Q232+Q233+Q234)</formula>
    </cfRule>
    <cfRule type="expression" dxfId="846" priority="1455">
      <formula>(Q234+Q233+Q232)&gt;Q230</formula>
    </cfRule>
  </conditionalFormatting>
  <conditionalFormatting sqref="Q234">
    <cfRule type="expression" dxfId="845" priority="1448">
      <formula>Q231&lt;(Q232+Q233+Q234)</formula>
    </cfRule>
    <cfRule type="expression" dxfId="844" priority="1454">
      <formula>(Q234+Q233+Q232)&gt;Q230</formula>
    </cfRule>
  </conditionalFormatting>
  <conditionalFormatting sqref="Q231">
    <cfRule type="cellIs" dxfId="843" priority="1453" operator="equal">
      <formula>0</formula>
    </cfRule>
  </conditionalFormatting>
  <conditionalFormatting sqref="Q231">
    <cfRule type="expression" dxfId="842" priority="1451">
      <formula>Q231&lt;(Q232+Q233+Q234)</formula>
    </cfRule>
    <cfRule type="expression" dxfId="841" priority="1452">
      <formula>Q231&gt;Q230</formula>
    </cfRule>
  </conditionalFormatting>
  <conditionalFormatting sqref="S232">
    <cfRule type="expression" dxfId="840" priority="1441">
      <formula>S231&lt;(S232+S233+S234)</formula>
    </cfRule>
    <cfRule type="expression" dxfId="839" priority="1447">
      <formula>(S234+S233+S232)&gt;S230</formula>
    </cfRule>
  </conditionalFormatting>
  <conditionalFormatting sqref="S233">
    <cfRule type="expression" dxfId="838" priority="1440">
      <formula>S231&lt;(S232+S233+S234)</formula>
    </cfRule>
    <cfRule type="expression" dxfId="837" priority="1446">
      <formula>(S234+S233+S232)&gt;S230</formula>
    </cfRule>
  </conditionalFormatting>
  <conditionalFormatting sqref="S234">
    <cfRule type="expression" dxfId="836" priority="1439">
      <formula>S231&lt;(S232+S233+S234)</formula>
    </cfRule>
    <cfRule type="expression" dxfId="835" priority="1445">
      <formula>(S234+S233+S232)&gt;S230</formula>
    </cfRule>
  </conditionalFormatting>
  <conditionalFormatting sqref="S231">
    <cfRule type="cellIs" dxfId="834" priority="1444" operator="equal">
      <formula>0</formula>
    </cfRule>
  </conditionalFormatting>
  <conditionalFormatting sqref="S231">
    <cfRule type="expression" dxfId="833" priority="1442">
      <formula>S231&lt;(S232+S233+S234)</formula>
    </cfRule>
    <cfRule type="expression" dxfId="832" priority="1443">
      <formula>S231&gt;S230</formula>
    </cfRule>
  </conditionalFormatting>
  <conditionalFormatting sqref="U232">
    <cfRule type="expression" dxfId="831" priority="1432">
      <formula>U231&lt;(U232+U233+U234)</formula>
    </cfRule>
    <cfRule type="expression" dxfId="830" priority="1438">
      <formula>(U234+U233+U232)&gt;U230</formula>
    </cfRule>
  </conditionalFormatting>
  <conditionalFormatting sqref="U233">
    <cfRule type="expression" dxfId="829" priority="1431">
      <formula>U231&lt;(U232+U233+U234)</formula>
    </cfRule>
    <cfRule type="expression" dxfId="828" priority="1437">
      <formula>(U234+U233+U232)&gt;U230</formula>
    </cfRule>
  </conditionalFormatting>
  <conditionalFormatting sqref="U234">
    <cfRule type="expression" dxfId="827" priority="1430">
      <formula>U231&lt;(U232+U233+U234)</formula>
    </cfRule>
    <cfRule type="expression" dxfId="826" priority="1436">
      <formula>(U234+U233+U232)&gt;U230</formula>
    </cfRule>
  </conditionalFormatting>
  <conditionalFormatting sqref="U231">
    <cfRule type="cellIs" dxfId="825" priority="1435" operator="equal">
      <formula>0</formula>
    </cfRule>
  </conditionalFormatting>
  <conditionalFormatting sqref="U231">
    <cfRule type="expression" dxfId="824" priority="1433">
      <formula>U231&lt;(U232+U233+U234)</formula>
    </cfRule>
    <cfRule type="expression" dxfId="823" priority="1434">
      <formula>U231&gt;U230</formula>
    </cfRule>
  </conditionalFormatting>
  <conditionalFormatting sqref="W232">
    <cfRule type="expression" dxfId="822" priority="1423">
      <formula>W231&lt;(W232+W233+W234)</formula>
    </cfRule>
    <cfRule type="expression" dxfId="821" priority="1429">
      <formula>(W234+W233+W232)&gt;W230</formula>
    </cfRule>
  </conditionalFormatting>
  <conditionalFormatting sqref="W233">
    <cfRule type="expression" dxfId="820" priority="1422">
      <formula>W231&lt;(W232+W233+W234)</formula>
    </cfRule>
    <cfRule type="expression" dxfId="819" priority="1428">
      <formula>(W234+W233+W232)&gt;W230</formula>
    </cfRule>
  </conditionalFormatting>
  <conditionalFormatting sqref="W234">
    <cfRule type="expression" dxfId="818" priority="1421">
      <formula>W231&lt;(W232+W233+W234)</formula>
    </cfRule>
    <cfRule type="expression" dxfId="817" priority="1427">
      <formula>(W234+W233+W232)&gt;W230</formula>
    </cfRule>
  </conditionalFormatting>
  <conditionalFormatting sqref="W231">
    <cfRule type="cellIs" dxfId="816" priority="1426" operator="equal">
      <formula>0</formula>
    </cfRule>
  </conditionalFormatting>
  <conditionalFormatting sqref="W231">
    <cfRule type="expression" dxfId="815" priority="1424">
      <formula>W231&lt;(W232+W233+W234)</formula>
    </cfRule>
    <cfRule type="expression" dxfId="814" priority="1425">
      <formula>W231&gt;W230</formula>
    </cfRule>
  </conditionalFormatting>
  <conditionalFormatting sqref="Y232">
    <cfRule type="expression" dxfId="813" priority="1414">
      <formula>Y231&lt;(Y232+Y233+Y234)</formula>
    </cfRule>
    <cfRule type="expression" dxfId="812" priority="1420">
      <formula>(Y234+Y233+Y232)&gt;Y230</formula>
    </cfRule>
  </conditionalFormatting>
  <conditionalFormatting sqref="Y233">
    <cfRule type="expression" dxfId="811" priority="1413">
      <formula>Y231&lt;(Y232+Y233+Y234)</formula>
    </cfRule>
    <cfRule type="expression" dxfId="810" priority="1419">
      <formula>(Y234+Y233+Y232)&gt;Y230</formula>
    </cfRule>
  </conditionalFormatting>
  <conditionalFormatting sqref="Y234">
    <cfRule type="expression" dxfId="809" priority="1412">
      <formula>Y231&lt;(Y232+Y233+Y234)</formula>
    </cfRule>
    <cfRule type="expression" dxfId="808" priority="1418">
      <formula>(Y234+Y233+Y232)&gt;Y230</formula>
    </cfRule>
  </conditionalFormatting>
  <conditionalFormatting sqref="Y231">
    <cfRule type="cellIs" dxfId="807" priority="1417" operator="equal">
      <formula>0</formula>
    </cfRule>
  </conditionalFormatting>
  <conditionalFormatting sqref="Y231">
    <cfRule type="expression" dxfId="806" priority="1415">
      <formula>Y231&lt;(Y232+Y233+Y234)</formula>
    </cfRule>
    <cfRule type="expression" dxfId="805" priority="1416">
      <formula>Y231&gt;Y230</formula>
    </cfRule>
  </conditionalFormatting>
  <conditionalFormatting sqref="AC232 AE232 AG232 AI232">
    <cfRule type="expression" dxfId="804" priority="1405">
      <formula>AC231&lt;(AC232+AC233+AC234)</formula>
    </cfRule>
    <cfRule type="expression" dxfId="803" priority="1411">
      <formula>(AC234+AC233+AC232)&gt;AC230</formula>
    </cfRule>
  </conditionalFormatting>
  <conditionalFormatting sqref="AC233 AE233 AG233 AI233">
    <cfRule type="expression" dxfId="802" priority="1404">
      <formula>AC231&lt;(AC232+AC233+AC234)</formula>
    </cfRule>
    <cfRule type="expression" dxfId="801" priority="1410">
      <formula>(AC234+AC233+AC232)&gt;AC230</formula>
    </cfRule>
  </conditionalFormatting>
  <conditionalFormatting sqref="AC234 AE234 AG234 AI234">
    <cfRule type="expression" dxfId="800" priority="1403">
      <formula>AC231&lt;(AC232+AC233+AC234)</formula>
    </cfRule>
    <cfRule type="expression" dxfId="799" priority="1409">
      <formula>(AC234+AC233+AC232)&gt;AC230</formula>
    </cfRule>
  </conditionalFormatting>
  <conditionalFormatting sqref="AC231 AE231 AG231 AI231">
    <cfRule type="cellIs" dxfId="798" priority="1408" operator="equal">
      <formula>0</formula>
    </cfRule>
  </conditionalFormatting>
  <conditionalFormatting sqref="AC231 AE231 AG231 AI231">
    <cfRule type="expression" dxfId="797" priority="1406">
      <formula>AC231&lt;(AC232+AC233+AC234)</formula>
    </cfRule>
    <cfRule type="expression" dxfId="796" priority="1407">
      <formula>AC231&gt;AC230</formula>
    </cfRule>
  </conditionalFormatting>
  <conditionalFormatting sqref="F44:Y44 AB44:AI44">
    <cfRule type="cellIs" dxfId="795" priority="1401" operator="equal">
      <formula>0</formula>
    </cfRule>
  </conditionalFormatting>
  <conditionalFormatting sqref="J148:AA148">
    <cfRule type="expression" dxfId="794" priority="3346">
      <formula>J146&gt;J148</formula>
    </cfRule>
  </conditionalFormatting>
  <conditionalFormatting sqref="AK66:AK67">
    <cfRule type="notContainsBlanks" dxfId="793" priority="1399">
      <formula>LEN(TRIM(AK66))&gt;0</formula>
    </cfRule>
  </conditionalFormatting>
  <conditionalFormatting sqref="AM70">
    <cfRule type="notContainsBlanks" dxfId="792" priority="1397">
      <formula>LEN(TRIM(AM70))&gt;0</formula>
    </cfRule>
  </conditionalFormatting>
  <conditionalFormatting sqref="AM66:AM67 AM70:AM71">
    <cfRule type="notContainsBlanks" dxfId="791" priority="1396">
      <formula>LEN(TRIM(AM66))&gt;0</formula>
    </cfRule>
  </conditionalFormatting>
  <conditionalFormatting sqref="AL66">
    <cfRule type="notContainsBlanks" dxfId="790" priority="1400">
      <formula>LEN(TRIM(AL66))&gt;0</formula>
    </cfRule>
  </conditionalFormatting>
  <conditionalFormatting sqref="AJ66:AJ67">
    <cfRule type="cellIs" dxfId="789" priority="1390" operator="equal">
      <formula>0</formula>
    </cfRule>
  </conditionalFormatting>
  <conditionalFormatting sqref="AK76:AK77">
    <cfRule type="notContainsBlanks" dxfId="788" priority="1387">
      <formula>LEN(TRIM(AK76))&gt;0</formula>
    </cfRule>
  </conditionalFormatting>
  <conditionalFormatting sqref="AM74">
    <cfRule type="notContainsBlanks" dxfId="787" priority="1386">
      <formula>LEN(TRIM(AM74))&gt;0</formula>
    </cfRule>
  </conditionalFormatting>
  <conditionalFormatting sqref="AM74:AM77">
    <cfRule type="notContainsBlanks" dxfId="786" priority="1385">
      <formula>LEN(TRIM(AM74))&gt;0</formula>
    </cfRule>
  </conditionalFormatting>
  <conditionalFormatting sqref="AK80:AK81">
    <cfRule type="notContainsBlanks" dxfId="785" priority="1379">
      <formula>LEN(TRIM(AK80))&gt;0</formula>
    </cfRule>
  </conditionalFormatting>
  <conditionalFormatting sqref="AM78">
    <cfRule type="notContainsBlanks" dxfId="784" priority="1378">
      <formula>LEN(TRIM(AM78))&gt;0</formula>
    </cfRule>
  </conditionalFormatting>
  <conditionalFormatting sqref="AM78:AM81">
    <cfRule type="notContainsBlanks" dxfId="783" priority="1377">
      <formula>LEN(TRIM(AM78))&gt;0</formula>
    </cfRule>
  </conditionalFormatting>
  <conditionalFormatting sqref="AK88:AK89">
    <cfRule type="notContainsBlanks" dxfId="782" priority="1370">
      <formula>LEN(TRIM(AK88))&gt;0</formula>
    </cfRule>
  </conditionalFormatting>
  <conditionalFormatting sqref="AM86">
    <cfRule type="notContainsBlanks" dxfId="781" priority="1369">
      <formula>LEN(TRIM(AM86))&gt;0</formula>
    </cfRule>
  </conditionalFormatting>
  <conditionalFormatting sqref="AM86:AM89">
    <cfRule type="notContainsBlanks" dxfId="780" priority="1368">
      <formula>LEN(TRIM(AM86))&gt;0</formula>
    </cfRule>
  </conditionalFormatting>
  <conditionalFormatting sqref="AK92:AK93">
    <cfRule type="notContainsBlanks" dxfId="779" priority="1361">
      <formula>LEN(TRIM(AK92))&gt;0</formula>
    </cfRule>
  </conditionalFormatting>
  <conditionalFormatting sqref="AM90">
    <cfRule type="notContainsBlanks" dxfId="778" priority="1360">
      <formula>LEN(TRIM(AM90))&gt;0</formula>
    </cfRule>
  </conditionalFormatting>
  <conditionalFormatting sqref="AM90:AM93">
    <cfRule type="notContainsBlanks" dxfId="777" priority="1359">
      <formula>LEN(TRIM(AM90))&gt;0</formula>
    </cfRule>
  </conditionalFormatting>
  <conditionalFormatting sqref="AK96:AK97">
    <cfRule type="notContainsBlanks" dxfId="776" priority="1352">
      <formula>LEN(TRIM(AK96))&gt;0</formula>
    </cfRule>
  </conditionalFormatting>
  <conditionalFormatting sqref="AM94">
    <cfRule type="notContainsBlanks" dxfId="775" priority="1351">
      <formula>LEN(TRIM(AM94))&gt;0</formula>
    </cfRule>
  </conditionalFormatting>
  <conditionalFormatting sqref="AM94:AM97">
    <cfRule type="notContainsBlanks" dxfId="774" priority="1350">
      <formula>LEN(TRIM(AM94))&gt;0</formula>
    </cfRule>
  </conditionalFormatting>
  <conditionalFormatting sqref="AK100:AK101">
    <cfRule type="notContainsBlanks" dxfId="773" priority="1343">
      <formula>LEN(TRIM(AK100))&gt;0</formula>
    </cfRule>
  </conditionalFormatting>
  <conditionalFormatting sqref="AM98">
    <cfRule type="notContainsBlanks" dxfId="772" priority="1342">
      <formula>LEN(TRIM(AM98))&gt;0</formula>
    </cfRule>
  </conditionalFormatting>
  <conditionalFormatting sqref="AM98:AM101">
    <cfRule type="notContainsBlanks" dxfId="771" priority="1341">
      <formula>LEN(TRIM(AM98))&gt;0</formula>
    </cfRule>
  </conditionalFormatting>
  <conditionalFormatting sqref="AK104:AK105">
    <cfRule type="notContainsBlanks" dxfId="770" priority="1334">
      <formula>LEN(TRIM(AK104))&gt;0</formula>
    </cfRule>
  </conditionalFormatting>
  <conditionalFormatting sqref="AM102">
    <cfRule type="notContainsBlanks" dxfId="769" priority="1333">
      <formula>LEN(TRIM(AM102))&gt;0</formula>
    </cfRule>
  </conditionalFormatting>
  <conditionalFormatting sqref="AM102:AM105">
    <cfRule type="notContainsBlanks" dxfId="768" priority="1332">
      <formula>LEN(TRIM(AM102))&gt;0</formula>
    </cfRule>
  </conditionalFormatting>
  <conditionalFormatting sqref="AK84:AK85">
    <cfRule type="notContainsBlanks" dxfId="767" priority="1307">
      <formula>LEN(TRIM(AK84))&gt;0</formula>
    </cfRule>
  </conditionalFormatting>
  <conditionalFormatting sqref="AM82">
    <cfRule type="notContainsBlanks" dxfId="766" priority="1306">
      <formula>LEN(TRIM(AM82))&gt;0</formula>
    </cfRule>
  </conditionalFormatting>
  <conditionalFormatting sqref="AM82:AM85">
    <cfRule type="notContainsBlanks" dxfId="765" priority="1305">
      <formula>LEN(TRIM(AM82))&gt;0</formula>
    </cfRule>
  </conditionalFormatting>
  <conditionalFormatting sqref="AJ74:AJ77">
    <cfRule type="cellIs" dxfId="764" priority="1285" operator="equal">
      <formula>0</formula>
    </cfRule>
  </conditionalFormatting>
  <conditionalFormatting sqref="AJ78:AJ81">
    <cfRule type="cellIs" dxfId="763" priority="1284" operator="equal">
      <formula>0</formula>
    </cfRule>
  </conditionalFormatting>
  <conditionalFormatting sqref="F52:Y52 AB52:AI52">
    <cfRule type="expression" dxfId="762" priority="1298">
      <formula>F53&gt;F52</formula>
    </cfRule>
  </conditionalFormatting>
  <conditionalFormatting sqref="AK106:AK107">
    <cfRule type="notContainsBlanks" dxfId="761" priority="1296">
      <formula>LEN(TRIM(AK106))&gt;0</formula>
    </cfRule>
  </conditionalFormatting>
  <conditionalFormatting sqref="AM106">
    <cfRule type="notContainsBlanks" dxfId="760" priority="1295">
      <formula>LEN(TRIM(AM106))&gt;0</formula>
    </cfRule>
  </conditionalFormatting>
  <conditionalFormatting sqref="AM106:AM107">
    <cfRule type="notContainsBlanks" dxfId="759" priority="1294">
      <formula>LEN(TRIM(AM106))&gt;0</formula>
    </cfRule>
  </conditionalFormatting>
  <conditionalFormatting sqref="AJ94:AJ97">
    <cfRule type="cellIs" dxfId="758" priority="1280" operator="equal">
      <formula>0</formula>
    </cfRule>
  </conditionalFormatting>
  <conditionalFormatting sqref="AJ98:AJ107">
    <cfRule type="cellIs" dxfId="757" priority="1279" operator="equal">
      <formula>0</formula>
    </cfRule>
  </conditionalFormatting>
  <conditionalFormatting sqref="AJ70:AJ71">
    <cfRule type="cellIs" dxfId="756" priority="1286" operator="equal">
      <formula>0</formula>
    </cfRule>
  </conditionalFormatting>
  <conditionalFormatting sqref="AJ82:AJ85">
    <cfRule type="cellIs" dxfId="755" priority="1283" operator="equal">
      <formula>0</formula>
    </cfRule>
  </conditionalFormatting>
  <conditionalFormatting sqref="AJ86:AJ89">
    <cfRule type="cellIs" dxfId="754" priority="1282" operator="equal">
      <formula>0</formula>
    </cfRule>
  </conditionalFormatting>
  <conditionalFormatting sqref="AJ90:AJ93">
    <cfRule type="cellIs" dxfId="753" priority="1281" operator="equal">
      <formula>0</formula>
    </cfRule>
  </conditionalFormatting>
  <conditionalFormatting sqref="Z358:AA373">
    <cfRule type="cellIs" dxfId="752" priority="1265" operator="equal">
      <formula>0</formula>
    </cfRule>
  </conditionalFormatting>
  <conditionalFormatting sqref="AJ51:AJ52">
    <cfRule type="cellIs" dxfId="751" priority="1277" operator="equal">
      <formula>0</formula>
    </cfRule>
  </conditionalFormatting>
  <conditionalFormatting sqref="AJ53">
    <cfRule type="cellIs" dxfId="750" priority="1276" operator="equal">
      <formula>0</formula>
    </cfRule>
  </conditionalFormatting>
  <conditionalFormatting sqref="M329">
    <cfRule type="expression" dxfId="749" priority="1262">
      <formula>M329&gt;M346</formula>
    </cfRule>
    <cfRule type="expression" dxfId="748" priority="1263">
      <formula>M329&gt;M346 &amp; EXACT($I$3,"1") &amp; EXACT($E$3,"1")</formula>
    </cfRule>
  </conditionalFormatting>
  <conditionalFormatting sqref="O329">
    <cfRule type="expression" dxfId="747" priority="1260">
      <formula>O329&gt;O346</formula>
    </cfRule>
    <cfRule type="expression" dxfId="746" priority="1261">
      <formula>O329&gt;O346 &amp; EXACT($I$3,"1") &amp; EXACT($E$3,"1")</formula>
    </cfRule>
  </conditionalFormatting>
  <conditionalFormatting sqref="Q329">
    <cfRule type="expression" dxfId="745" priority="1258">
      <formula>Q329&gt;Q346</formula>
    </cfRule>
    <cfRule type="expression" dxfId="744" priority="1259">
      <formula>Q329&gt;Q346 &amp; EXACT($I$3,"1") &amp; EXACT($E$3,"1")</formula>
    </cfRule>
  </conditionalFormatting>
  <conditionalFormatting sqref="S329">
    <cfRule type="expression" dxfId="743" priority="1256">
      <formula>S329&gt;S346</formula>
    </cfRule>
    <cfRule type="expression" dxfId="742" priority="1257">
      <formula>S329&gt;S346 &amp; EXACT($I$3,"1") &amp; EXACT($E$3,"1")</formula>
    </cfRule>
  </conditionalFormatting>
  <conditionalFormatting sqref="U329">
    <cfRule type="expression" dxfId="741" priority="1254">
      <formula>U329&gt;U346</formula>
    </cfRule>
    <cfRule type="expression" dxfId="740" priority="1255">
      <formula>U329&gt;U346 &amp; EXACT($I$3,"1") &amp; EXACT($E$3,"1")</formula>
    </cfRule>
  </conditionalFormatting>
  <conditionalFormatting sqref="W329">
    <cfRule type="expression" dxfId="739" priority="1252">
      <formula>W329&gt;W346</formula>
    </cfRule>
    <cfRule type="expression" dxfId="738" priority="1253">
      <formula>W329&gt;W346 &amp; EXACT($I$3,"1") &amp; EXACT($E$3,"1")</formula>
    </cfRule>
  </conditionalFormatting>
  <conditionalFormatting sqref="Y329">
    <cfRule type="expression" dxfId="737" priority="1250">
      <formula>Y329&gt;Y346</formula>
    </cfRule>
    <cfRule type="expression" dxfId="736" priority="1251">
      <formula>Y329&gt;Y346 &amp; EXACT($I$3,"1") &amp; EXACT($E$3,"1")</formula>
    </cfRule>
  </conditionalFormatting>
  <conditionalFormatting sqref="K346">
    <cfRule type="expression" dxfId="735" priority="1249">
      <formula>K329&gt;K346</formula>
    </cfRule>
  </conditionalFormatting>
  <conditionalFormatting sqref="M346">
    <cfRule type="expression" dxfId="734" priority="1248">
      <formula>M329&gt;M346</formula>
    </cfRule>
  </conditionalFormatting>
  <conditionalFormatting sqref="O346">
    <cfRule type="expression" dxfId="733" priority="1247">
      <formula>O329&gt;O346</formula>
    </cfRule>
  </conditionalFormatting>
  <conditionalFormatting sqref="Q346">
    <cfRule type="expression" dxfId="732" priority="1246">
      <formula>Q329&gt;Q346</formula>
    </cfRule>
  </conditionalFormatting>
  <conditionalFormatting sqref="S346">
    <cfRule type="expression" dxfId="731" priority="1245">
      <formula>S329&gt;S346</formula>
    </cfRule>
  </conditionalFormatting>
  <conditionalFormatting sqref="U346">
    <cfRule type="expression" dxfId="730" priority="1244">
      <formula>U329&gt;U346</formula>
    </cfRule>
  </conditionalFormatting>
  <conditionalFormatting sqref="W346">
    <cfRule type="expression" dxfId="729" priority="1243">
      <formula>W329&gt;W346</formula>
    </cfRule>
  </conditionalFormatting>
  <conditionalFormatting sqref="Y346">
    <cfRule type="expression" dxfId="728" priority="1242">
      <formula>Y329&gt;Y346</formula>
    </cfRule>
  </conditionalFormatting>
  <conditionalFormatting sqref="AA346:AI346">
    <cfRule type="expression" dxfId="727" priority="1241">
      <formula>AA329&gt;AA346</formula>
    </cfRule>
  </conditionalFormatting>
  <conditionalFormatting sqref="AK439:AK440">
    <cfRule type="notContainsBlanks" dxfId="726" priority="1238">
      <formula>LEN(TRIM(AK439))&gt;0</formula>
    </cfRule>
  </conditionalFormatting>
  <conditionalFormatting sqref="AM439">
    <cfRule type="notContainsBlanks" dxfId="725" priority="1237">
      <formula>LEN(TRIM(AM439))&gt;0</formula>
    </cfRule>
  </conditionalFormatting>
  <conditionalFormatting sqref="AJ439">
    <cfRule type="cellIs" dxfId="724" priority="1235" operator="equal">
      <formula>0</formula>
    </cfRule>
  </conditionalFormatting>
  <conditionalFormatting sqref="AJ440">
    <cfRule type="cellIs" dxfId="723" priority="1234" operator="equal">
      <formula>0</formula>
    </cfRule>
  </conditionalFormatting>
  <conditionalFormatting sqref="AJ438">
    <cfRule type="cellIs" dxfId="722" priority="1233" operator="equal">
      <formula>0</formula>
    </cfRule>
  </conditionalFormatting>
  <conditionalFormatting sqref="AM441">
    <cfRule type="notContainsBlanks" dxfId="721" priority="1228">
      <formula>LEN(TRIM(AM441))&gt;0</formula>
    </cfRule>
  </conditionalFormatting>
  <conditionalFormatting sqref="AK441">
    <cfRule type="notContainsBlanks" dxfId="720" priority="1227">
      <formula>LEN(TRIM(AK441))&gt;0</formula>
    </cfRule>
  </conditionalFormatting>
  <conditionalFormatting sqref="AJ441">
    <cfRule type="cellIs" dxfId="719" priority="1226" operator="equal">
      <formula>0</formula>
    </cfRule>
  </conditionalFormatting>
  <conditionalFormatting sqref="AM442">
    <cfRule type="notContainsBlanks" dxfId="718" priority="1223">
      <formula>LEN(TRIM(AM442))&gt;0</formula>
    </cfRule>
  </conditionalFormatting>
  <conditionalFormatting sqref="AK442">
    <cfRule type="notContainsBlanks" dxfId="717" priority="1222">
      <formula>LEN(TRIM(AK442))&gt;0</formula>
    </cfRule>
  </conditionalFormatting>
  <conditionalFormatting sqref="AJ442">
    <cfRule type="cellIs" dxfId="716" priority="1221" operator="equal">
      <formula>0</formula>
    </cfRule>
  </conditionalFormatting>
  <conditionalFormatting sqref="AM443:AM445">
    <cfRule type="notContainsBlanks" dxfId="715" priority="1213">
      <formula>LEN(TRIM(AM443))&gt;0</formula>
    </cfRule>
  </conditionalFormatting>
  <conditionalFormatting sqref="AK444:AK445">
    <cfRule type="notContainsBlanks" dxfId="714" priority="1212">
      <formula>LEN(TRIM(AK444))&gt;0</formula>
    </cfRule>
  </conditionalFormatting>
  <conditionalFormatting sqref="AM444">
    <cfRule type="notContainsBlanks" dxfId="713" priority="1211">
      <formula>LEN(TRIM(AM444))&gt;0</formula>
    </cfRule>
  </conditionalFormatting>
  <conditionalFormatting sqref="AM446">
    <cfRule type="notContainsBlanks" dxfId="712" priority="1205">
      <formula>LEN(TRIM(AM446))&gt;0</formula>
    </cfRule>
  </conditionalFormatting>
  <conditionalFormatting sqref="AK446">
    <cfRule type="notContainsBlanks" dxfId="711" priority="1204">
      <formula>LEN(TRIM(AK446))&gt;0</formula>
    </cfRule>
  </conditionalFormatting>
  <conditionalFormatting sqref="AM447">
    <cfRule type="notContainsBlanks" dxfId="710" priority="1200">
      <formula>LEN(TRIM(AM447))&gt;0</formula>
    </cfRule>
  </conditionalFormatting>
  <conditionalFormatting sqref="AK447">
    <cfRule type="notContainsBlanks" dxfId="709" priority="1199">
      <formula>LEN(TRIM(AK447))&gt;0</formula>
    </cfRule>
  </conditionalFormatting>
  <conditionalFormatting sqref="AM448:AM450">
    <cfRule type="notContainsBlanks" dxfId="708" priority="1190">
      <formula>LEN(TRIM(AM448))&gt;0</formula>
    </cfRule>
  </conditionalFormatting>
  <conditionalFormatting sqref="AK449:AK450">
    <cfRule type="notContainsBlanks" dxfId="707" priority="1189">
      <formula>LEN(TRIM(AK449))&gt;0</formula>
    </cfRule>
  </conditionalFormatting>
  <conditionalFormatting sqref="AM449">
    <cfRule type="notContainsBlanks" dxfId="706" priority="1188">
      <formula>LEN(TRIM(AM449))&gt;0</formula>
    </cfRule>
  </conditionalFormatting>
  <conditionalFormatting sqref="AM451">
    <cfRule type="notContainsBlanks" dxfId="705" priority="1182">
      <formula>LEN(TRIM(AM451))&gt;0</formula>
    </cfRule>
  </conditionalFormatting>
  <conditionalFormatting sqref="AK451">
    <cfRule type="notContainsBlanks" dxfId="704" priority="1181">
      <formula>LEN(TRIM(AK451))&gt;0</formula>
    </cfRule>
  </conditionalFormatting>
  <conditionalFormatting sqref="AM452">
    <cfRule type="notContainsBlanks" dxfId="703" priority="1177">
      <formula>LEN(TRIM(AM452))&gt;0</formula>
    </cfRule>
  </conditionalFormatting>
  <conditionalFormatting sqref="AK452">
    <cfRule type="notContainsBlanks" dxfId="702" priority="1176">
      <formula>LEN(TRIM(AK452))&gt;0</formula>
    </cfRule>
  </conditionalFormatting>
  <conditionalFormatting sqref="AM453:AM455">
    <cfRule type="notContainsBlanks" dxfId="701" priority="1167">
      <formula>LEN(TRIM(AM453))&gt;0</formula>
    </cfRule>
  </conditionalFormatting>
  <conditionalFormatting sqref="AK454:AK455">
    <cfRule type="notContainsBlanks" dxfId="700" priority="1166">
      <formula>LEN(TRIM(AK454))&gt;0</formula>
    </cfRule>
  </conditionalFormatting>
  <conditionalFormatting sqref="AM454">
    <cfRule type="notContainsBlanks" dxfId="699" priority="1165">
      <formula>LEN(TRIM(AM454))&gt;0</formula>
    </cfRule>
  </conditionalFormatting>
  <conditionalFormatting sqref="AM456">
    <cfRule type="notContainsBlanks" dxfId="698" priority="1159">
      <formula>LEN(TRIM(AM456))&gt;0</formula>
    </cfRule>
  </conditionalFormatting>
  <conditionalFormatting sqref="AK456">
    <cfRule type="notContainsBlanks" dxfId="697" priority="1158">
      <formula>LEN(TRIM(AK456))&gt;0</formula>
    </cfRule>
  </conditionalFormatting>
  <conditionalFormatting sqref="AJ445">
    <cfRule type="cellIs" dxfId="696" priority="1145" operator="equal">
      <formula>0</formula>
    </cfRule>
  </conditionalFormatting>
  <conditionalFormatting sqref="AM457">
    <cfRule type="notContainsBlanks" dxfId="695" priority="1154">
      <formula>LEN(TRIM(AM457))&gt;0</formula>
    </cfRule>
  </conditionalFormatting>
  <conditionalFormatting sqref="AK457">
    <cfRule type="notContainsBlanks" dxfId="694" priority="1153">
      <formula>LEN(TRIM(AK457))&gt;0</formula>
    </cfRule>
  </conditionalFormatting>
  <conditionalFormatting sqref="AJ447">
    <cfRule type="cellIs" dxfId="693" priority="1140" operator="equal">
      <formula>0</formula>
    </cfRule>
  </conditionalFormatting>
  <conditionalFormatting sqref="AJ444">
    <cfRule type="cellIs" dxfId="692" priority="1146" operator="equal">
      <formula>0</formula>
    </cfRule>
  </conditionalFormatting>
  <conditionalFormatting sqref="AJ443">
    <cfRule type="cellIs" dxfId="691" priority="1144" operator="equal">
      <formula>0</formula>
    </cfRule>
  </conditionalFormatting>
  <conditionalFormatting sqref="AJ446">
    <cfRule type="cellIs" dxfId="690" priority="1142" operator="equal">
      <formula>0</formula>
    </cfRule>
  </conditionalFormatting>
  <conditionalFormatting sqref="AJ449">
    <cfRule type="cellIs" dxfId="689" priority="1134" operator="equal">
      <formula>0</formula>
    </cfRule>
  </conditionalFormatting>
  <conditionalFormatting sqref="AJ450">
    <cfRule type="cellIs" dxfId="688" priority="1133" operator="equal">
      <formula>0</formula>
    </cfRule>
  </conditionalFormatting>
  <conditionalFormatting sqref="AJ448">
    <cfRule type="cellIs" dxfId="687" priority="1132" operator="equal">
      <formula>0</formula>
    </cfRule>
  </conditionalFormatting>
  <conditionalFormatting sqref="AJ451">
    <cfRule type="cellIs" dxfId="686" priority="1130" operator="equal">
      <formula>0</formula>
    </cfRule>
  </conditionalFormatting>
  <conditionalFormatting sqref="AJ452">
    <cfRule type="cellIs" dxfId="685" priority="1128" operator="equal">
      <formula>0</formula>
    </cfRule>
  </conditionalFormatting>
  <conditionalFormatting sqref="AJ454">
    <cfRule type="cellIs" dxfId="684" priority="1122" operator="equal">
      <formula>0</formula>
    </cfRule>
  </conditionalFormatting>
  <conditionalFormatting sqref="AJ455">
    <cfRule type="cellIs" dxfId="683" priority="1121" operator="equal">
      <formula>0</formula>
    </cfRule>
  </conditionalFormatting>
  <conditionalFormatting sqref="AJ453">
    <cfRule type="cellIs" dxfId="682" priority="1120" operator="equal">
      <formula>0</formula>
    </cfRule>
  </conditionalFormatting>
  <conditionalFormatting sqref="AJ456">
    <cfRule type="cellIs" dxfId="681" priority="1118" operator="equal">
      <formula>0</formula>
    </cfRule>
  </conditionalFormatting>
  <conditionalFormatting sqref="AJ457">
    <cfRule type="cellIs" dxfId="680" priority="1116" operator="equal">
      <formula>0</formula>
    </cfRule>
  </conditionalFormatting>
  <conditionalFormatting sqref="AM458:AM460">
    <cfRule type="notContainsBlanks" dxfId="679" priority="1108">
      <formula>LEN(TRIM(AM458))&gt;0</formula>
    </cfRule>
  </conditionalFormatting>
  <conditionalFormatting sqref="AK459:AK460">
    <cfRule type="notContainsBlanks" dxfId="678" priority="1107">
      <formula>LEN(TRIM(AK459))&gt;0</formula>
    </cfRule>
  </conditionalFormatting>
  <conditionalFormatting sqref="AM459">
    <cfRule type="notContainsBlanks" dxfId="677" priority="1106">
      <formula>LEN(TRIM(AM459))&gt;0</formula>
    </cfRule>
  </conditionalFormatting>
  <conditionalFormatting sqref="AJ459">
    <cfRule type="cellIs" dxfId="676" priority="1105" operator="equal">
      <formula>0</formula>
    </cfRule>
  </conditionalFormatting>
  <conditionalFormatting sqref="AJ460">
    <cfRule type="cellIs" dxfId="675" priority="1104" operator="equal">
      <formula>0</formula>
    </cfRule>
  </conditionalFormatting>
  <conditionalFormatting sqref="AJ458">
    <cfRule type="cellIs" dxfId="674" priority="1103" operator="equal">
      <formula>0</formula>
    </cfRule>
  </conditionalFormatting>
  <conditionalFormatting sqref="AM461">
    <cfRule type="notContainsBlanks" dxfId="673" priority="1100">
      <formula>LEN(TRIM(AM461))&gt;0</formula>
    </cfRule>
  </conditionalFormatting>
  <conditionalFormatting sqref="AK461">
    <cfRule type="notContainsBlanks" dxfId="672" priority="1099">
      <formula>LEN(TRIM(AK461))&gt;0</formula>
    </cfRule>
  </conditionalFormatting>
  <conditionalFormatting sqref="AJ461">
    <cfRule type="cellIs" dxfId="671" priority="1098" operator="equal">
      <formula>0</formula>
    </cfRule>
  </conditionalFormatting>
  <conditionalFormatting sqref="AM462">
    <cfRule type="notContainsBlanks" dxfId="670" priority="1095">
      <formula>LEN(TRIM(AM462))&gt;0</formula>
    </cfRule>
  </conditionalFormatting>
  <conditionalFormatting sqref="AK462">
    <cfRule type="notContainsBlanks" dxfId="669" priority="1094">
      <formula>LEN(TRIM(AK462))&gt;0</formula>
    </cfRule>
  </conditionalFormatting>
  <conditionalFormatting sqref="AJ462">
    <cfRule type="cellIs" dxfId="668" priority="1093" operator="equal">
      <formula>0</formula>
    </cfRule>
  </conditionalFormatting>
  <conditionalFormatting sqref="AM463:AM465">
    <cfRule type="notContainsBlanks" dxfId="667" priority="1085">
      <formula>LEN(TRIM(AM463))&gt;0</formula>
    </cfRule>
  </conditionalFormatting>
  <conditionalFormatting sqref="AK464:AK465">
    <cfRule type="notContainsBlanks" dxfId="666" priority="1084">
      <formula>LEN(TRIM(AK464))&gt;0</formula>
    </cfRule>
  </conditionalFormatting>
  <conditionalFormatting sqref="AM464">
    <cfRule type="notContainsBlanks" dxfId="665" priority="1083">
      <formula>LEN(TRIM(AM464))&gt;0</formula>
    </cfRule>
  </conditionalFormatting>
  <conditionalFormatting sqref="AM466">
    <cfRule type="notContainsBlanks" dxfId="664" priority="1081">
      <formula>LEN(TRIM(AM466))&gt;0</formula>
    </cfRule>
  </conditionalFormatting>
  <conditionalFormatting sqref="AK466">
    <cfRule type="notContainsBlanks" dxfId="663" priority="1080">
      <formula>LEN(TRIM(AK466))&gt;0</formula>
    </cfRule>
  </conditionalFormatting>
  <conditionalFormatting sqref="AM467">
    <cfRule type="notContainsBlanks" dxfId="662" priority="1078">
      <formula>LEN(TRIM(AM467))&gt;0</formula>
    </cfRule>
  </conditionalFormatting>
  <conditionalFormatting sqref="AK467">
    <cfRule type="notContainsBlanks" dxfId="661" priority="1077">
      <formula>LEN(TRIM(AK467))&gt;0</formula>
    </cfRule>
  </conditionalFormatting>
  <conditionalFormatting sqref="AM468:AM470">
    <cfRule type="notContainsBlanks" dxfId="660" priority="1074">
      <formula>LEN(TRIM(AM468))&gt;0</formula>
    </cfRule>
  </conditionalFormatting>
  <conditionalFormatting sqref="AK469:AK470">
    <cfRule type="notContainsBlanks" dxfId="659" priority="1073">
      <formula>LEN(TRIM(AK469))&gt;0</formula>
    </cfRule>
  </conditionalFormatting>
  <conditionalFormatting sqref="AM469">
    <cfRule type="notContainsBlanks" dxfId="658" priority="1072">
      <formula>LEN(TRIM(AM469))&gt;0</formula>
    </cfRule>
  </conditionalFormatting>
  <conditionalFormatting sqref="AM471">
    <cfRule type="notContainsBlanks" dxfId="657" priority="1070">
      <formula>LEN(TRIM(AM471))&gt;0</formula>
    </cfRule>
  </conditionalFormatting>
  <conditionalFormatting sqref="AK471">
    <cfRule type="notContainsBlanks" dxfId="656" priority="1069">
      <formula>LEN(TRIM(AK471))&gt;0</formula>
    </cfRule>
  </conditionalFormatting>
  <conditionalFormatting sqref="AM472">
    <cfRule type="notContainsBlanks" dxfId="655" priority="1067">
      <formula>LEN(TRIM(AM472))&gt;0</formula>
    </cfRule>
  </conditionalFormatting>
  <conditionalFormatting sqref="AK472">
    <cfRule type="notContainsBlanks" dxfId="654" priority="1066">
      <formula>LEN(TRIM(AK472))&gt;0</formula>
    </cfRule>
  </conditionalFormatting>
  <conditionalFormatting sqref="AM473:AM475">
    <cfRule type="notContainsBlanks" dxfId="653" priority="1063">
      <formula>LEN(TRIM(AM473))&gt;0</formula>
    </cfRule>
  </conditionalFormatting>
  <conditionalFormatting sqref="AK474:AK475">
    <cfRule type="notContainsBlanks" dxfId="652" priority="1062">
      <formula>LEN(TRIM(AK474))&gt;0</formula>
    </cfRule>
  </conditionalFormatting>
  <conditionalFormatting sqref="AM474">
    <cfRule type="notContainsBlanks" dxfId="651" priority="1061">
      <formula>LEN(TRIM(AM474))&gt;0</formula>
    </cfRule>
  </conditionalFormatting>
  <conditionalFormatting sqref="AM476">
    <cfRule type="notContainsBlanks" dxfId="650" priority="1059">
      <formula>LEN(TRIM(AM476))&gt;0</formula>
    </cfRule>
  </conditionalFormatting>
  <conditionalFormatting sqref="AK476">
    <cfRule type="notContainsBlanks" dxfId="649" priority="1058">
      <formula>LEN(TRIM(AK476))&gt;0</formula>
    </cfRule>
  </conditionalFormatting>
  <conditionalFormatting sqref="AJ465">
    <cfRule type="cellIs" dxfId="648" priority="1053" operator="equal">
      <formula>0</formula>
    </cfRule>
  </conditionalFormatting>
  <conditionalFormatting sqref="AM477">
    <cfRule type="notContainsBlanks" dxfId="647" priority="1056">
      <formula>LEN(TRIM(AM477))&gt;0</formula>
    </cfRule>
  </conditionalFormatting>
  <conditionalFormatting sqref="AK477">
    <cfRule type="notContainsBlanks" dxfId="646" priority="1055">
      <formula>LEN(TRIM(AK477))&gt;0</formula>
    </cfRule>
  </conditionalFormatting>
  <conditionalFormatting sqref="AJ467">
    <cfRule type="cellIs" dxfId="645" priority="1048" operator="equal">
      <formula>0</formula>
    </cfRule>
  </conditionalFormatting>
  <conditionalFormatting sqref="AJ464">
    <cfRule type="cellIs" dxfId="644" priority="1054" operator="equal">
      <formula>0</formula>
    </cfRule>
  </conditionalFormatting>
  <conditionalFormatting sqref="AJ463">
    <cfRule type="cellIs" dxfId="643" priority="1052" operator="equal">
      <formula>0</formula>
    </cfRule>
  </conditionalFormatting>
  <conditionalFormatting sqref="AJ466">
    <cfRule type="cellIs" dxfId="642" priority="1050" operator="equal">
      <formula>0</formula>
    </cfRule>
  </conditionalFormatting>
  <conditionalFormatting sqref="AJ469">
    <cfRule type="cellIs" dxfId="641" priority="1042" operator="equal">
      <formula>0</formula>
    </cfRule>
  </conditionalFormatting>
  <conditionalFormatting sqref="AJ470">
    <cfRule type="cellIs" dxfId="640" priority="1041" operator="equal">
      <formula>0</formula>
    </cfRule>
  </conditionalFormatting>
  <conditionalFormatting sqref="AJ468">
    <cfRule type="cellIs" dxfId="639" priority="1040" operator="equal">
      <formula>0</formula>
    </cfRule>
  </conditionalFormatting>
  <conditionalFormatting sqref="AJ471">
    <cfRule type="cellIs" dxfId="638" priority="1038" operator="equal">
      <formula>0</formula>
    </cfRule>
  </conditionalFormatting>
  <conditionalFormatting sqref="AJ472">
    <cfRule type="cellIs" dxfId="637" priority="1036" operator="equal">
      <formula>0</formula>
    </cfRule>
  </conditionalFormatting>
  <conditionalFormatting sqref="AJ474">
    <cfRule type="cellIs" dxfId="636" priority="1030" operator="equal">
      <formula>0</formula>
    </cfRule>
  </conditionalFormatting>
  <conditionalFormatting sqref="AJ475">
    <cfRule type="cellIs" dxfId="635" priority="1029" operator="equal">
      <formula>0</formula>
    </cfRule>
  </conditionalFormatting>
  <conditionalFormatting sqref="AJ473">
    <cfRule type="cellIs" dxfId="634" priority="1028" operator="equal">
      <formula>0</formula>
    </cfRule>
  </conditionalFormatting>
  <conditionalFormatting sqref="AJ476">
    <cfRule type="cellIs" dxfId="633" priority="1026" operator="equal">
      <formula>0</formula>
    </cfRule>
  </conditionalFormatting>
  <conditionalFormatting sqref="AJ477">
    <cfRule type="cellIs" dxfId="632" priority="1024" operator="equal">
      <formula>0</formula>
    </cfRule>
  </conditionalFormatting>
  <conditionalFormatting sqref="AM478:AM480">
    <cfRule type="notContainsBlanks" dxfId="631" priority="1016">
      <formula>LEN(TRIM(AM478))&gt;0</formula>
    </cfRule>
  </conditionalFormatting>
  <conditionalFormatting sqref="AK479:AK480">
    <cfRule type="notContainsBlanks" dxfId="630" priority="1015">
      <formula>LEN(TRIM(AK479))&gt;0</formula>
    </cfRule>
  </conditionalFormatting>
  <conditionalFormatting sqref="AM479">
    <cfRule type="notContainsBlanks" dxfId="629" priority="1014">
      <formula>LEN(TRIM(AM479))&gt;0</formula>
    </cfRule>
  </conditionalFormatting>
  <conditionalFormatting sqref="AJ479">
    <cfRule type="cellIs" dxfId="628" priority="1013" operator="equal">
      <formula>0</formula>
    </cfRule>
  </conditionalFormatting>
  <conditionalFormatting sqref="AJ480">
    <cfRule type="cellIs" dxfId="627" priority="1012" operator="equal">
      <formula>0</formula>
    </cfRule>
  </conditionalFormatting>
  <conditionalFormatting sqref="AJ478">
    <cfRule type="cellIs" dxfId="626" priority="1011" operator="equal">
      <formula>0</formula>
    </cfRule>
  </conditionalFormatting>
  <conditionalFormatting sqref="AM481">
    <cfRule type="notContainsBlanks" dxfId="625" priority="1008">
      <formula>LEN(TRIM(AM481))&gt;0</formula>
    </cfRule>
  </conditionalFormatting>
  <conditionalFormatting sqref="AK481">
    <cfRule type="notContainsBlanks" dxfId="624" priority="1007">
      <formula>LEN(TRIM(AK481))&gt;0</formula>
    </cfRule>
  </conditionalFormatting>
  <conditionalFormatting sqref="AJ481">
    <cfRule type="cellIs" dxfId="623" priority="1006" operator="equal">
      <formula>0</formula>
    </cfRule>
  </conditionalFormatting>
  <conditionalFormatting sqref="AM482">
    <cfRule type="notContainsBlanks" dxfId="622" priority="1003">
      <formula>LEN(TRIM(AM482))&gt;0</formula>
    </cfRule>
  </conditionalFormatting>
  <conditionalFormatting sqref="AK482">
    <cfRule type="notContainsBlanks" dxfId="621" priority="1002">
      <formula>LEN(TRIM(AK482))&gt;0</formula>
    </cfRule>
  </conditionalFormatting>
  <conditionalFormatting sqref="AJ482">
    <cfRule type="cellIs" dxfId="620" priority="1001" operator="equal">
      <formula>0</formula>
    </cfRule>
  </conditionalFormatting>
  <conditionalFormatting sqref="AM483:AM485">
    <cfRule type="notContainsBlanks" dxfId="619" priority="993">
      <formula>LEN(TRIM(AM483))&gt;0</formula>
    </cfRule>
  </conditionalFormatting>
  <conditionalFormatting sqref="AK484:AK485">
    <cfRule type="notContainsBlanks" dxfId="618" priority="992">
      <formula>LEN(TRIM(AK484))&gt;0</formula>
    </cfRule>
  </conditionalFormatting>
  <conditionalFormatting sqref="AM484">
    <cfRule type="notContainsBlanks" dxfId="617" priority="991">
      <formula>LEN(TRIM(AM484))&gt;0</formula>
    </cfRule>
  </conditionalFormatting>
  <conditionalFormatting sqref="AM486">
    <cfRule type="notContainsBlanks" dxfId="616" priority="989">
      <formula>LEN(TRIM(AM486))&gt;0</formula>
    </cfRule>
  </conditionalFormatting>
  <conditionalFormatting sqref="AK486">
    <cfRule type="notContainsBlanks" dxfId="615" priority="988">
      <formula>LEN(TRIM(AK486))&gt;0</formula>
    </cfRule>
  </conditionalFormatting>
  <conditionalFormatting sqref="AM487">
    <cfRule type="notContainsBlanks" dxfId="614" priority="986">
      <formula>LEN(TRIM(AM487))&gt;0</formula>
    </cfRule>
  </conditionalFormatting>
  <conditionalFormatting sqref="AK487">
    <cfRule type="notContainsBlanks" dxfId="613" priority="985">
      <formula>LEN(TRIM(AK487))&gt;0</formula>
    </cfRule>
  </conditionalFormatting>
  <conditionalFormatting sqref="AM488:AM490">
    <cfRule type="notContainsBlanks" dxfId="612" priority="982">
      <formula>LEN(TRIM(AM488))&gt;0</formula>
    </cfRule>
  </conditionalFormatting>
  <conditionalFormatting sqref="AK489:AK490">
    <cfRule type="notContainsBlanks" dxfId="611" priority="981">
      <formula>LEN(TRIM(AK489))&gt;0</formula>
    </cfRule>
  </conditionalFormatting>
  <conditionalFormatting sqref="AM489">
    <cfRule type="notContainsBlanks" dxfId="610" priority="980">
      <formula>LEN(TRIM(AM489))&gt;0</formula>
    </cfRule>
  </conditionalFormatting>
  <conditionalFormatting sqref="AM491">
    <cfRule type="notContainsBlanks" dxfId="609" priority="978">
      <formula>LEN(TRIM(AM491))&gt;0</formula>
    </cfRule>
  </conditionalFormatting>
  <conditionalFormatting sqref="AK491">
    <cfRule type="notContainsBlanks" dxfId="608" priority="977">
      <formula>LEN(TRIM(AK491))&gt;0</formula>
    </cfRule>
  </conditionalFormatting>
  <conditionalFormatting sqref="AM492">
    <cfRule type="notContainsBlanks" dxfId="607" priority="975">
      <formula>LEN(TRIM(AM492))&gt;0</formula>
    </cfRule>
  </conditionalFormatting>
  <conditionalFormatting sqref="AK492">
    <cfRule type="notContainsBlanks" dxfId="606" priority="974">
      <formula>LEN(TRIM(AK492))&gt;0</formula>
    </cfRule>
  </conditionalFormatting>
  <conditionalFormatting sqref="AM493:AM495">
    <cfRule type="notContainsBlanks" dxfId="605" priority="971">
      <formula>LEN(TRIM(AM493))&gt;0</formula>
    </cfRule>
  </conditionalFormatting>
  <conditionalFormatting sqref="AK494:AK495">
    <cfRule type="notContainsBlanks" dxfId="604" priority="970">
      <formula>LEN(TRIM(AK494))&gt;0</formula>
    </cfRule>
  </conditionalFormatting>
  <conditionalFormatting sqref="AM494">
    <cfRule type="notContainsBlanks" dxfId="603" priority="969">
      <formula>LEN(TRIM(AM494))&gt;0</formula>
    </cfRule>
  </conditionalFormatting>
  <conditionalFormatting sqref="AM496">
    <cfRule type="notContainsBlanks" dxfId="602" priority="967">
      <formula>LEN(TRIM(AM496))&gt;0</formula>
    </cfRule>
  </conditionalFormatting>
  <conditionalFormatting sqref="AK496">
    <cfRule type="notContainsBlanks" dxfId="601" priority="966">
      <formula>LEN(TRIM(AK496))&gt;0</formula>
    </cfRule>
  </conditionalFormatting>
  <conditionalFormatting sqref="AJ485">
    <cfRule type="cellIs" dxfId="600" priority="961" operator="equal">
      <formula>0</formula>
    </cfRule>
  </conditionalFormatting>
  <conditionalFormatting sqref="AM497">
    <cfRule type="notContainsBlanks" dxfId="599" priority="964">
      <formula>LEN(TRIM(AM497))&gt;0</formula>
    </cfRule>
  </conditionalFormatting>
  <conditionalFormatting sqref="AK497">
    <cfRule type="notContainsBlanks" dxfId="598" priority="963">
      <formula>LEN(TRIM(AK497))&gt;0</formula>
    </cfRule>
  </conditionalFormatting>
  <conditionalFormatting sqref="AJ487">
    <cfRule type="cellIs" dxfId="597" priority="956" operator="equal">
      <formula>0</formula>
    </cfRule>
  </conditionalFormatting>
  <conditionalFormatting sqref="AJ484">
    <cfRule type="cellIs" dxfId="596" priority="962" operator="equal">
      <formula>0</formula>
    </cfRule>
  </conditionalFormatting>
  <conditionalFormatting sqref="AJ483">
    <cfRule type="cellIs" dxfId="595" priority="960" operator="equal">
      <formula>0</formula>
    </cfRule>
  </conditionalFormatting>
  <conditionalFormatting sqref="AJ486">
    <cfRule type="cellIs" dxfId="594" priority="958" operator="equal">
      <formula>0</formula>
    </cfRule>
  </conditionalFormatting>
  <conditionalFormatting sqref="AJ489">
    <cfRule type="cellIs" dxfId="593" priority="950" operator="equal">
      <formula>0</formula>
    </cfRule>
  </conditionalFormatting>
  <conditionalFormatting sqref="AJ490">
    <cfRule type="cellIs" dxfId="592" priority="949" operator="equal">
      <formula>0</formula>
    </cfRule>
  </conditionalFormatting>
  <conditionalFormatting sqref="AJ488">
    <cfRule type="cellIs" dxfId="591" priority="948" operator="equal">
      <formula>0</formula>
    </cfRule>
  </conditionalFormatting>
  <conditionalFormatting sqref="AJ491">
    <cfRule type="cellIs" dxfId="590" priority="946" operator="equal">
      <formula>0</formula>
    </cfRule>
  </conditionalFormatting>
  <conditionalFormatting sqref="AJ492">
    <cfRule type="cellIs" dxfId="589" priority="944" operator="equal">
      <formula>0</formula>
    </cfRule>
  </conditionalFormatting>
  <conditionalFormatting sqref="AJ494">
    <cfRule type="cellIs" dxfId="588" priority="938" operator="equal">
      <formula>0</formula>
    </cfRule>
  </conditionalFormatting>
  <conditionalFormatting sqref="AJ495">
    <cfRule type="cellIs" dxfId="587" priority="937" operator="equal">
      <formula>0</formula>
    </cfRule>
  </conditionalFormatting>
  <conditionalFormatting sqref="AJ493">
    <cfRule type="cellIs" dxfId="586" priority="936" operator="equal">
      <formula>0</formula>
    </cfRule>
  </conditionalFormatting>
  <conditionalFormatting sqref="AJ496">
    <cfRule type="cellIs" dxfId="585" priority="934" operator="equal">
      <formula>0</formula>
    </cfRule>
  </conditionalFormatting>
  <conditionalFormatting sqref="AJ497">
    <cfRule type="cellIs" dxfId="584" priority="932" operator="equal">
      <formula>0</formula>
    </cfRule>
  </conditionalFormatting>
  <conditionalFormatting sqref="AK498">
    <cfRule type="notContainsBlanks" dxfId="583" priority="924">
      <formula>LEN(TRIM(AK498))&gt;0</formula>
    </cfRule>
  </conditionalFormatting>
  <conditionalFormatting sqref="AM498:AM500">
    <cfRule type="notContainsBlanks" dxfId="582" priority="923">
      <formula>LEN(TRIM(AM498))&gt;0</formula>
    </cfRule>
  </conditionalFormatting>
  <conditionalFormatting sqref="AK499:AK500">
    <cfRule type="notContainsBlanks" dxfId="581" priority="922">
      <formula>LEN(TRIM(AK499))&gt;0</formula>
    </cfRule>
  </conditionalFormatting>
  <conditionalFormatting sqref="AM499">
    <cfRule type="notContainsBlanks" dxfId="580" priority="921">
      <formula>LEN(TRIM(AM499))&gt;0</formula>
    </cfRule>
  </conditionalFormatting>
  <conditionalFormatting sqref="AM501">
    <cfRule type="notContainsBlanks" dxfId="579" priority="919">
      <formula>LEN(TRIM(AM501))&gt;0</formula>
    </cfRule>
  </conditionalFormatting>
  <conditionalFormatting sqref="AK501">
    <cfRule type="notContainsBlanks" dxfId="578" priority="918">
      <formula>LEN(TRIM(AK501))&gt;0</formula>
    </cfRule>
  </conditionalFormatting>
  <conditionalFormatting sqref="AM502">
    <cfRule type="notContainsBlanks" dxfId="577" priority="916">
      <formula>LEN(TRIM(AM502))&gt;0</formula>
    </cfRule>
  </conditionalFormatting>
  <conditionalFormatting sqref="AK502">
    <cfRule type="notContainsBlanks" dxfId="576" priority="915">
      <formula>LEN(TRIM(AK502))&gt;0</formula>
    </cfRule>
  </conditionalFormatting>
  <conditionalFormatting sqref="AJ499">
    <cfRule type="cellIs" dxfId="575" priority="914" operator="equal">
      <formula>0</formula>
    </cfRule>
  </conditionalFormatting>
  <conditionalFormatting sqref="AJ500">
    <cfRule type="cellIs" dxfId="574" priority="913" operator="equal">
      <formula>0</formula>
    </cfRule>
  </conditionalFormatting>
  <conditionalFormatting sqref="AJ498">
    <cfRule type="cellIs" dxfId="573" priority="912" operator="equal">
      <formula>0</formula>
    </cfRule>
  </conditionalFormatting>
  <conditionalFormatting sqref="AJ501">
    <cfRule type="cellIs" dxfId="572" priority="910" operator="equal">
      <formula>0</formula>
    </cfRule>
  </conditionalFormatting>
  <conditionalFormatting sqref="AJ502">
    <cfRule type="cellIs" dxfId="571" priority="908" operator="equal">
      <formula>0</formula>
    </cfRule>
  </conditionalFormatting>
  <conditionalFormatting sqref="F498:AI501">
    <cfRule type="expression" dxfId="570" priority="904">
      <formula>F498=0</formula>
    </cfRule>
  </conditionalFormatting>
  <conditionalFormatting sqref="F502:AI502">
    <cfRule type="expression" dxfId="569" priority="846">
      <formula>F502=0</formula>
    </cfRule>
  </conditionalFormatting>
  <conditionalFormatting sqref="G478 I478 K478">
    <cfRule type="expression" dxfId="568" priority="792">
      <formula>G478=0</formula>
    </cfRule>
  </conditionalFormatting>
  <conditionalFormatting sqref="F478:K478">
    <cfRule type="cellIs" dxfId="567" priority="791" operator="equal">
      <formula>0</formula>
    </cfRule>
  </conditionalFormatting>
  <conditionalFormatting sqref="G482 I482 K482">
    <cfRule type="expression" dxfId="566" priority="790">
      <formula>G482=0</formula>
    </cfRule>
  </conditionalFormatting>
  <conditionalFormatting sqref="F482:K482">
    <cfRule type="cellIs" dxfId="565" priority="789" operator="equal">
      <formula>0</formula>
    </cfRule>
  </conditionalFormatting>
  <conditionalFormatting sqref="F438:AI438">
    <cfRule type="cellIs" dxfId="564" priority="759" operator="equal">
      <formula>0</formula>
    </cfRule>
  </conditionalFormatting>
  <conditionalFormatting sqref="AH359:AI359">
    <cfRule type="cellIs" dxfId="563" priority="723" operator="equal">
      <formula>0</formula>
    </cfRule>
  </conditionalFormatting>
  <conditionalFormatting sqref="AH372:AI372">
    <cfRule type="cellIs" dxfId="562" priority="722" operator="equal">
      <formula>0</formula>
    </cfRule>
  </conditionalFormatting>
  <conditionalFormatting sqref="AH372:AI372">
    <cfRule type="cellIs" dxfId="561" priority="721" operator="equal">
      <formula>0</formula>
    </cfRule>
  </conditionalFormatting>
  <conditionalFormatting sqref="AH359:AI359 AH372:AI372">
    <cfRule type="cellIs" dxfId="560" priority="720" operator="equal">
      <formula>0</formula>
    </cfRule>
  </conditionalFormatting>
  <conditionalFormatting sqref="AH413:AI413">
    <cfRule type="cellIs" dxfId="559" priority="719" operator="equal">
      <formula>0</formula>
    </cfRule>
  </conditionalFormatting>
  <conditionalFormatting sqref="AH372:AI372">
    <cfRule type="expression" dxfId="558" priority="718">
      <formula>AH372&lt;&gt;AH359</formula>
    </cfRule>
  </conditionalFormatting>
  <conditionalFormatting sqref="AH238:AI238">
    <cfRule type="cellIs" dxfId="557" priority="717" operator="equal">
      <formula>0</formula>
    </cfRule>
  </conditionalFormatting>
  <conditionalFormatting sqref="AH358:AI358">
    <cfRule type="cellIs" dxfId="556" priority="716" operator="equal">
      <formula>0</formula>
    </cfRule>
  </conditionalFormatting>
  <conditionalFormatting sqref="AH391:AI391">
    <cfRule type="cellIs" dxfId="555" priority="713" operator="equal">
      <formula>0</formula>
    </cfRule>
  </conditionalFormatting>
  <conditionalFormatting sqref="AH391:AI391">
    <cfRule type="cellIs" dxfId="554" priority="712" operator="equal">
      <formula>0</formula>
    </cfRule>
  </conditionalFormatting>
  <conditionalFormatting sqref="AH391:AI391">
    <cfRule type="cellIs" dxfId="553" priority="711" operator="equal">
      <formula>0</formula>
    </cfRule>
  </conditionalFormatting>
  <conditionalFormatting sqref="AH359:AI359">
    <cfRule type="expression" dxfId="552" priority="710">
      <formula>AH358&gt;AH359</formula>
    </cfRule>
  </conditionalFormatting>
  <conditionalFormatting sqref="AH434:AI434">
    <cfRule type="expression" dxfId="551" priority="709">
      <formula>AH434&gt;AH432</formula>
    </cfRule>
  </conditionalFormatting>
  <conditionalFormatting sqref="AH359:AI359">
    <cfRule type="expression" dxfId="550" priority="708">
      <formula>AH346&gt;AH359</formula>
    </cfRule>
  </conditionalFormatting>
  <conditionalFormatting sqref="AH360:AI365">
    <cfRule type="expression" dxfId="549" priority="707">
      <formula>AH347&gt;AH360</formula>
    </cfRule>
  </conditionalFormatting>
  <conditionalFormatting sqref="AH358:AI358">
    <cfRule type="expression" dxfId="548" priority="706">
      <formula>AH358&gt;AH359</formula>
    </cfRule>
  </conditionalFormatting>
  <conditionalFormatting sqref="AH372:AI372">
    <cfRule type="expression" dxfId="547" priority="705">
      <formula>AH372&lt;&gt;AH359</formula>
    </cfRule>
  </conditionalFormatting>
  <conditionalFormatting sqref="AH359:AI359">
    <cfRule type="expression" dxfId="546" priority="704">
      <formula>AH372&lt;&gt;AH359</formula>
    </cfRule>
  </conditionalFormatting>
  <conditionalFormatting sqref="AH359:AI359">
    <cfRule type="expression" dxfId="545" priority="703">
      <formula>AH339&gt;AH359</formula>
    </cfRule>
  </conditionalFormatting>
  <conditionalFormatting sqref="AH359:AI359">
    <cfRule type="expression" dxfId="544" priority="702">
      <formula>AH379&gt;AH359</formula>
    </cfRule>
  </conditionalFormatting>
  <conditionalFormatting sqref="AH359:AI359">
    <cfRule type="expression" dxfId="543" priority="701">
      <formula>SUM(AH182:AH183)&gt;AH359</formula>
    </cfRule>
  </conditionalFormatting>
  <conditionalFormatting sqref="AH414:AI420">
    <cfRule type="expression" dxfId="542" priority="699">
      <formula>AH414&gt;AH$408</formula>
    </cfRule>
  </conditionalFormatting>
  <conditionalFormatting sqref="AH408:AI408">
    <cfRule type="expression" dxfId="541" priority="698">
      <formula>AH414&gt;AH$408</formula>
    </cfRule>
  </conditionalFormatting>
  <conditionalFormatting sqref="AH434:AI434">
    <cfRule type="expression" dxfId="540" priority="697">
      <formula>AH432&gt;AH434</formula>
    </cfRule>
  </conditionalFormatting>
  <conditionalFormatting sqref="AH18:AI18">
    <cfRule type="cellIs" dxfId="539" priority="696" operator="equal">
      <formula>0</formula>
    </cfRule>
  </conditionalFormatting>
  <conditionalFormatting sqref="AH14:AI14">
    <cfRule type="cellIs" dxfId="538" priority="695" operator="equal">
      <formula>0</formula>
    </cfRule>
  </conditionalFormatting>
  <conditionalFormatting sqref="AH14:AI14">
    <cfRule type="expression" dxfId="537" priority="694">
      <formula>AH54&gt;AH14</formula>
    </cfRule>
  </conditionalFormatting>
  <conditionalFormatting sqref="AH240:AI240">
    <cfRule type="cellIs" dxfId="536" priority="693" operator="equal">
      <formula>0</formula>
    </cfRule>
  </conditionalFormatting>
  <conditionalFormatting sqref="AH239:AI239">
    <cfRule type="expression" dxfId="535" priority="692">
      <formula>AH239&gt;AH238</formula>
    </cfRule>
  </conditionalFormatting>
  <conditionalFormatting sqref="AH238:AI238">
    <cfRule type="expression" dxfId="534" priority="691">
      <formula>AH239&gt;AH238</formula>
    </cfRule>
  </conditionalFormatting>
  <conditionalFormatting sqref="AH240:AI240">
    <cfRule type="expression" dxfId="533" priority="690">
      <formula>AH240&gt;AH239</formula>
    </cfRule>
  </conditionalFormatting>
  <conditionalFormatting sqref="AH239:AI239">
    <cfRule type="expression" dxfId="532" priority="689">
      <formula>AH240&gt;AH239</formula>
    </cfRule>
  </conditionalFormatting>
  <conditionalFormatting sqref="AH242:AI242">
    <cfRule type="expression" dxfId="531" priority="688">
      <formula>AH242&gt;AH241</formula>
    </cfRule>
  </conditionalFormatting>
  <conditionalFormatting sqref="AH241:AI241">
    <cfRule type="expression" dxfId="530" priority="687">
      <formula>AH242&gt;AH241</formula>
    </cfRule>
  </conditionalFormatting>
  <conditionalFormatting sqref="AH244:AI244">
    <cfRule type="expression" dxfId="529" priority="686">
      <formula>AH244&gt;AH243</formula>
    </cfRule>
  </conditionalFormatting>
  <conditionalFormatting sqref="AH243:AI243">
    <cfRule type="expression" dxfId="528" priority="685">
      <formula>AH244&gt;AH243</formula>
    </cfRule>
  </conditionalFormatting>
  <conditionalFormatting sqref="AH247:AI247">
    <cfRule type="cellIs" dxfId="527" priority="684" operator="equal">
      <formula>0</formula>
    </cfRule>
  </conditionalFormatting>
  <conditionalFormatting sqref="AH249:AI249">
    <cfRule type="cellIs" dxfId="526" priority="683" operator="equal">
      <formula>0</formula>
    </cfRule>
  </conditionalFormatting>
  <conditionalFormatting sqref="AH248:AI248">
    <cfRule type="expression" dxfId="525" priority="682">
      <formula>AH248&gt;AH247</formula>
    </cfRule>
  </conditionalFormatting>
  <conditionalFormatting sqref="AH247:AI247">
    <cfRule type="expression" dxfId="524" priority="681">
      <formula>AH248&gt;AH247</formula>
    </cfRule>
  </conditionalFormatting>
  <conditionalFormatting sqref="AH249:AI249">
    <cfRule type="expression" dxfId="523" priority="680">
      <formula>AH249&gt;AH248</formula>
    </cfRule>
  </conditionalFormatting>
  <conditionalFormatting sqref="AH248:AI248">
    <cfRule type="expression" dxfId="522" priority="679">
      <formula>AH249&gt;AH248</formula>
    </cfRule>
  </conditionalFormatting>
  <conditionalFormatting sqref="AH251:AI251">
    <cfRule type="expression" dxfId="521" priority="678">
      <formula>AH251&gt;AH250</formula>
    </cfRule>
  </conditionalFormatting>
  <conditionalFormatting sqref="AH250:AI250">
    <cfRule type="expression" dxfId="520" priority="677">
      <formula>AH251&gt;AH250</formula>
    </cfRule>
  </conditionalFormatting>
  <conditionalFormatting sqref="AH253:AI253">
    <cfRule type="expression" dxfId="519" priority="676">
      <formula>AH253&gt;AH252</formula>
    </cfRule>
  </conditionalFormatting>
  <conditionalFormatting sqref="AH252:AI252">
    <cfRule type="expression" dxfId="518" priority="675">
      <formula>AH253&gt;AH252</formula>
    </cfRule>
  </conditionalFormatting>
  <conditionalFormatting sqref="AH258:AI258">
    <cfRule type="cellIs" dxfId="517" priority="674" operator="equal">
      <formula>0</formula>
    </cfRule>
  </conditionalFormatting>
  <conditionalFormatting sqref="AH257:AI257">
    <cfRule type="expression" dxfId="516" priority="673">
      <formula>AH257&gt;AH256</formula>
    </cfRule>
  </conditionalFormatting>
  <conditionalFormatting sqref="AH256:AI256">
    <cfRule type="expression" dxfId="515" priority="672">
      <formula>AH257&gt;AH256</formula>
    </cfRule>
  </conditionalFormatting>
  <conditionalFormatting sqref="AH258:AI258">
    <cfRule type="expression" dxfId="514" priority="671">
      <formula>AH258&gt;AH257</formula>
    </cfRule>
  </conditionalFormatting>
  <conditionalFormatting sqref="AH257:AI257">
    <cfRule type="expression" dxfId="513" priority="670">
      <formula>AH258&gt;AH257</formula>
    </cfRule>
  </conditionalFormatting>
  <conditionalFormatting sqref="AH260:AI260">
    <cfRule type="expression" dxfId="512" priority="669">
      <formula>AH260&gt;AH259</formula>
    </cfRule>
  </conditionalFormatting>
  <conditionalFormatting sqref="AH259:AI259">
    <cfRule type="expression" dxfId="511" priority="668">
      <formula>AH260&gt;AH259</formula>
    </cfRule>
  </conditionalFormatting>
  <conditionalFormatting sqref="AH262:AI262">
    <cfRule type="expression" dxfId="510" priority="667">
      <formula>AH262&gt;AH261</formula>
    </cfRule>
  </conditionalFormatting>
  <conditionalFormatting sqref="AH261:AI261">
    <cfRule type="expression" dxfId="509" priority="666">
      <formula>AH262&gt;AH261</formula>
    </cfRule>
  </conditionalFormatting>
  <conditionalFormatting sqref="AH265:AI265">
    <cfRule type="cellIs" dxfId="508" priority="665" operator="equal">
      <formula>0</formula>
    </cfRule>
  </conditionalFormatting>
  <conditionalFormatting sqref="AH267:AI267">
    <cfRule type="cellIs" dxfId="507" priority="664" operator="equal">
      <formula>0</formula>
    </cfRule>
  </conditionalFormatting>
  <conditionalFormatting sqref="AH266:AI266">
    <cfRule type="expression" dxfId="506" priority="663">
      <formula>AH266&gt;AH265</formula>
    </cfRule>
  </conditionalFormatting>
  <conditionalFormatting sqref="AH265:AI265">
    <cfRule type="expression" dxfId="505" priority="662">
      <formula>AH266&gt;AH265</formula>
    </cfRule>
  </conditionalFormatting>
  <conditionalFormatting sqref="AH267:AI267">
    <cfRule type="expression" dxfId="504" priority="661">
      <formula>AH267&gt;AH266</formula>
    </cfRule>
  </conditionalFormatting>
  <conditionalFormatting sqref="AH266:AI266">
    <cfRule type="expression" dxfId="503" priority="660">
      <formula>AH267&gt;AH266</formula>
    </cfRule>
  </conditionalFormatting>
  <conditionalFormatting sqref="AH269:AI269">
    <cfRule type="expression" dxfId="502" priority="659">
      <formula>AH269&gt;AH268</formula>
    </cfRule>
  </conditionalFormatting>
  <conditionalFormatting sqref="AH268:AI268">
    <cfRule type="expression" dxfId="501" priority="658">
      <formula>AH269&gt;AH268</formula>
    </cfRule>
  </conditionalFormatting>
  <conditionalFormatting sqref="AH271:AI271">
    <cfRule type="expression" dxfId="500" priority="657">
      <formula>AH271&gt;AH270</formula>
    </cfRule>
  </conditionalFormatting>
  <conditionalFormatting sqref="AH270:AI270">
    <cfRule type="expression" dxfId="499" priority="656">
      <formula>AH271&gt;AH270</formula>
    </cfRule>
  </conditionalFormatting>
  <conditionalFormatting sqref="AM68:AM69">
    <cfRule type="notContainsBlanks" dxfId="498" priority="653">
      <formula>LEN(TRIM(AM68))&gt;0</formula>
    </cfRule>
  </conditionalFormatting>
  <conditionalFormatting sqref="AL68">
    <cfRule type="notContainsBlanks" dxfId="497" priority="655">
      <formula>LEN(TRIM(AL68))&gt;0</formula>
    </cfRule>
  </conditionalFormatting>
  <conditionalFormatting sqref="AJ68:AJ69">
    <cfRule type="cellIs" dxfId="496" priority="652" operator="equal">
      <formula>0</formula>
    </cfRule>
  </conditionalFormatting>
  <conditionalFormatting sqref="AM72">
    <cfRule type="notContainsBlanks" dxfId="495" priority="650">
      <formula>LEN(TRIM(AM72))&gt;0</formula>
    </cfRule>
  </conditionalFormatting>
  <conditionalFormatting sqref="AM72:AM73">
    <cfRule type="notContainsBlanks" dxfId="494" priority="649">
      <formula>LEN(TRIM(AM72))&gt;0</formula>
    </cfRule>
  </conditionalFormatting>
  <conditionalFormatting sqref="AJ72:AJ73">
    <cfRule type="cellIs" dxfId="493" priority="648" operator="equal">
      <formula>0</formula>
    </cfRule>
  </conditionalFormatting>
  <conditionalFormatting sqref="L68:AA68">
    <cfRule type="expression" dxfId="492" priority="647">
      <formula>L68&gt;L66</formula>
    </cfRule>
  </conditionalFormatting>
  <conditionalFormatting sqref="L66:AA66">
    <cfRule type="expression" dxfId="491" priority="646">
      <formula>L68&gt;L66</formula>
    </cfRule>
  </conditionalFormatting>
  <conditionalFormatting sqref="L67:AA67">
    <cfRule type="expression" dxfId="490" priority="645">
      <formula>L69&gt;L67</formula>
    </cfRule>
  </conditionalFormatting>
  <conditionalFormatting sqref="L69:AA69">
    <cfRule type="expression" dxfId="489" priority="644">
      <formula>L69&gt;L67</formula>
    </cfRule>
  </conditionalFormatting>
  <conditionalFormatting sqref="L72:AA72">
    <cfRule type="expression" dxfId="488" priority="643">
      <formula>L72&gt;L70</formula>
    </cfRule>
  </conditionalFormatting>
  <conditionalFormatting sqref="L70:AA70">
    <cfRule type="expression" dxfId="487" priority="642">
      <formula>L72&gt;L70</formula>
    </cfRule>
  </conditionalFormatting>
  <conditionalFormatting sqref="L71:AA71">
    <cfRule type="expression" dxfId="486" priority="641">
      <formula>L73&gt;L71</formula>
    </cfRule>
  </conditionalFormatting>
  <conditionalFormatting sqref="L73:AA73">
    <cfRule type="expression" dxfId="485" priority="640">
      <formula>L73&gt;L71</formula>
    </cfRule>
  </conditionalFormatting>
  <conditionalFormatting sqref="L76:AA76">
    <cfRule type="expression" dxfId="484" priority="639">
      <formula>L76&gt;L74</formula>
    </cfRule>
  </conditionalFormatting>
  <conditionalFormatting sqref="L74:AA74">
    <cfRule type="expression" dxfId="483" priority="638">
      <formula>L76&gt;L74</formula>
    </cfRule>
  </conditionalFormatting>
  <conditionalFormatting sqref="L75:AA75">
    <cfRule type="expression" dxfId="482" priority="637">
      <formula>L77&gt;L75</formula>
    </cfRule>
  </conditionalFormatting>
  <conditionalFormatting sqref="L77:AA77">
    <cfRule type="expression" dxfId="481" priority="636">
      <formula>L77&gt;L75</formula>
    </cfRule>
  </conditionalFormatting>
  <conditionalFormatting sqref="M80">
    <cfRule type="expression" dxfId="480" priority="635">
      <formula>M80&gt;M78</formula>
    </cfRule>
  </conditionalFormatting>
  <conditionalFormatting sqref="M78">
    <cfRule type="expression" dxfId="479" priority="634">
      <formula>M80&gt;M78</formula>
    </cfRule>
  </conditionalFormatting>
  <conditionalFormatting sqref="M79">
    <cfRule type="expression" dxfId="478" priority="633">
      <formula>M81&gt;M79</formula>
    </cfRule>
  </conditionalFormatting>
  <conditionalFormatting sqref="M81">
    <cfRule type="expression" dxfId="477" priority="632">
      <formula>M81&gt;M79</formula>
    </cfRule>
  </conditionalFormatting>
  <conditionalFormatting sqref="O80">
    <cfRule type="expression" dxfId="476" priority="631">
      <formula>O80&gt;O78</formula>
    </cfRule>
  </conditionalFormatting>
  <conditionalFormatting sqref="O78">
    <cfRule type="expression" dxfId="475" priority="630">
      <formula>O80&gt;O78</formula>
    </cfRule>
  </conditionalFormatting>
  <conditionalFormatting sqref="O79">
    <cfRule type="expression" dxfId="474" priority="629">
      <formula>O81&gt;O79</formula>
    </cfRule>
  </conditionalFormatting>
  <conditionalFormatting sqref="O81">
    <cfRule type="expression" dxfId="473" priority="628">
      <formula>O81&gt;O79</formula>
    </cfRule>
  </conditionalFormatting>
  <conditionalFormatting sqref="Q80">
    <cfRule type="expression" dxfId="472" priority="627">
      <formula>Q80&gt;Q78</formula>
    </cfRule>
  </conditionalFormatting>
  <conditionalFormatting sqref="Q78">
    <cfRule type="expression" dxfId="471" priority="626">
      <formula>Q80&gt;Q78</formula>
    </cfRule>
  </conditionalFormatting>
  <conditionalFormatting sqref="Q79">
    <cfRule type="expression" dxfId="470" priority="625">
      <formula>Q81&gt;Q79</formula>
    </cfRule>
  </conditionalFormatting>
  <conditionalFormatting sqref="Q81">
    <cfRule type="expression" dxfId="469" priority="624">
      <formula>Q81&gt;Q79</formula>
    </cfRule>
  </conditionalFormatting>
  <conditionalFormatting sqref="S80">
    <cfRule type="expression" dxfId="468" priority="623">
      <formula>S80&gt;S78</formula>
    </cfRule>
  </conditionalFormatting>
  <conditionalFormatting sqref="S78">
    <cfRule type="expression" dxfId="467" priority="622">
      <formula>S80&gt;S78</formula>
    </cfRule>
  </conditionalFormatting>
  <conditionalFormatting sqref="S79">
    <cfRule type="expression" dxfId="466" priority="621">
      <formula>S81&gt;S79</formula>
    </cfRule>
  </conditionalFormatting>
  <conditionalFormatting sqref="S81">
    <cfRule type="expression" dxfId="465" priority="620">
      <formula>S81&gt;S79</formula>
    </cfRule>
  </conditionalFormatting>
  <conditionalFormatting sqref="U80">
    <cfRule type="expression" dxfId="464" priority="619">
      <formula>U80&gt;U78</formula>
    </cfRule>
  </conditionalFormatting>
  <conditionalFormatting sqref="U78">
    <cfRule type="expression" dxfId="463" priority="618">
      <formula>U80&gt;U78</formula>
    </cfRule>
  </conditionalFormatting>
  <conditionalFormatting sqref="U79">
    <cfRule type="expression" dxfId="462" priority="617">
      <formula>U81&gt;U79</formula>
    </cfRule>
  </conditionalFormatting>
  <conditionalFormatting sqref="U81">
    <cfRule type="expression" dxfId="461" priority="616">
      <formula>U81&gt;U79</formula>
    </cfRule>
  </conditionalFormatting>
  <conditionalFormatting sqref="W80">
    <cfRule type="expression" dxfId="460" priority="615">
      <formula>W80&gt;W78</formula>
    </cfRule>
  </conditionalFormatting>
  <conditionalFormatting sqref="W78">
    <cfRule type="expression" dxfId="459" priority="614">
      <formula>W80&gt;W78</formula>
    </cfRule>
  </conditionalFormatting>
  <conditionalFormatting sqref="W79">
    <cfRule type="expression" dxfId="458" priority="613">
      <formula>W81&gt;W79</formula>
    </cfRule>
  </conditionalFormatting>
  <conditionalFormatting sqref="W81">
    <cfRule type="expression" dxfId="457" priority="612">
      <formula>W81&gt;W79</formula>
    </cfRule>
  </conditionalFormatting>
  <conditionalFormatting sqref="Y80">
    <cfRule type="expression" dxfId="456" priority="611">
      <formula>Y80&gt;Y78</formula>
    </cfRule>
  </conditionalFormatting>
  <conditionalFormatting sqref="Y78">
    <cfRule type="expression" dxfId="455" priority="610">
      <formula>Y80&gt;Y78</formula>
    </cfRule>
  </conditionalFormatting>
  <conditionalFormatting sqref="Y79">
    <cfRule type="expression" dxfId="454" priority="609">
      <formula>Y81&gt;Y79</formula>
    </cfRule>
  </conditionalFormatting>
  <conditionalFormatting sqref="Y81">
    <cfRule type="expression" dxfId="453" priority="608">
      <formula>Y81&gt;Y79</formula>
    </cfRule>
  </conditionalFormatting>
  <conditionalFormatting sqref="AA80">
    <cfRule type="expression" dxfId="452" priority="607">
      <formula>AA80&gt;AA78</formula>
    </cfRule>
  </conditionalFormatting>
  <conditionalFormatting sqref="AA78">
    <cfRule type="expression" dxfId="451" priority="606">
      <formula>AA80&gt;AA78</formula>
    </cfRule>
  </conditionalFormatting>
  <conditionalFormatting sqref="AA79">
    <cfRule type="expression" dxfId="450" priority="605">
      <formula>AA81&gt;AA79</formula>
    </cfRule>
  </conditionalFormatting>
  <conditionalFormatting sqref="AA81">
    <cfRule type="expression" dxfId="449" priority="604">
      <formula>AA81&gt;AA79</formula>
    </cfRule>
  </conditionalFormatting>
  <conditionalFormatting sqref="M84">
    <cfRule type="expression" dxfId="448" priority="603">
      <formula>M84&gt;M82</formula>
    </cfRule>
  </conditionalFormatting>
  <conditionalFormatting sqref="M82">
    <cfRule type="expression" dxfId="447" priority="602">
      <formula>M84&gt;M82</formula>
    </cfRule>
  </conditionalFormatting>
  <conditionalFormatting sqref="M83">
    <cfRule type="expression" dxfId="446" priority="601">
      <formula>M85&gt;M83</formula>
    </cfRule>
  </conditionalFormatting>
  <conditionalFormatting sqref="M85">
    <cfRule type="expression" dxfId="445" priority="600">
      <formula>M85&gt;M83</formula>
    </cfRule>
  </conditionalFormatting>
  <conditionalFormatting sqref="O84">
    <cfRule type="expression" dxfId="444" priority="599">
      <formula>O84&gt;O82</formula>
    </cfRule>
  </conditionalFormatting>
  <conditionalFormatting sqref="O82">
    <cfRule type="expression" dxfId="443" priority="598">
      <formula>O84&gt;O82</formula>
    </cfRule>
  </conditionalFormatting>
  <conditionalFormatting sqref="O83">
    <cfRule type="expression" dxfId="442" priority="597">
      <formula>O85&gt;O83</formula>
    </cfRule>
  </conditionalFormatting>
  <conditionalFormatting sqref="O85">
    <cfRule type="expression" dxfId="441" priority="596">
      <formula>O85&gt;O83</formula>
    </cfRule>
  </conditionalFormatting>
  <conditionalFormatting sqref="Q84">
    <cfRule type="expression" dxfId="440" priority="595">
      <formula>Q84&gt;Q82</formula>
    </cfRule>
  </conditionalFormatting>
  <conditionalFormatting sqref="Q82">
    <cfRule type="expression" dxfId="439" priority="594">
      <formula>Q84&gt;Q82</formula>
    </cfRule>
  </conditionalFormatting>
  <conditionalFormatting sqref="Q83">
    <cfRule type="expression" dxfId="438" priority="593">
      <formula>Q85&gt;Q83</formula>
    </cfRule>
  </conditionalFormatting>
  <conditionalFormatting sqref="Q85">
    <cfRule type="expression" dxfId="437" priority="592">
      <formula>Q85&gt;Q83</formula>
    </cfRule>
  </conditionalFormatting>
  <conditionalFormatting sqref="S84">
    <cfRule type="expression" dxfId="436" priority="591">
      <formula>S84&gt;S82</formula>
    </cfRule>
  </conditionalFormatting>
  <conditionalFormatting sqref="S82">
    <cfRule type="expression" dxfId="435" priority="590">
      <formula>S84&gt;S82</formula>
    </cfRule>
  </conditionalFormatting>
  <conditionalFormatting sqref="S83">
    <cfRule type="expression" dxfId="434" priority="589">
      <formula>S85&gt;S83</formula>
    </cfRule>
  </conditionalFormatting>
  <conditionalFormatting sqref="S85">
    <cfRule type="expression" dxfId="433" priority="588">
      <formula>S85&gt;S83</formula>
    </cfRule>
  </conditionalFormatting>
  <conditionalFormatting sqref="U84">
    <cfRule type="expression" dxfId="432" priority="587">
      <formula>U84&gt;U82</formula>
    </cfRule>
  </conditionalFormatting>
  <conditionalFormatting sqref="U82">
    <cfRule type="expression" dxfId="431" priority="586">
      <formula>U84&gt;U82</formula>
    </cfRule>
  </conditionalFormatting>
  <conditionalFormatting sqref="U83">
    <cfRule type="expression" dxfId="430" priority="585">
      <formula>U85&gt;U83</formula>
    </cfRule>
  </conditionalFormatting>
  <conditionalFormatting sqref="U85">
    <cfRule type="expression" dxfId="429" priority="584">
      <formula>U85&gt;U83</formula>
    </cfRule>
  </conditionalFormatting>
  <conditionalFormatting sqref="W84">
    <cfRule type="expression" dxfId="428" priority="583">
      <formula>W84&gt;W82</formula>
    </cfRule>
  </conditionalFormatting>
  <conditionalFormatting sqref="W82">
    <cfRule type="expression" dxfId="427" priority="582">
      <formula>W84&gt;W82</formula>
    </cfRule>
  </conditionalFormatting>
  <conditionalFormatting sqref="W83">
    <cfRule type="expression" dxfId="426" priority="581">
      <formula>W85&gt;W83</formula>
    </cfRule>
  </conditionalFormatting>
  <conditionalFormatting sqref="W85">
    <cfRule type="expression" dxfId="425" priority="580">
      <formula>W85&gt;W83</formula>
    </cfRule>
  </conditionalFormatting>
  <conditionalFormatting sqref="Y84">
    <cfRule type="expression" dxfId="424" priority="579">
      <formula>Y84&gt;Y82</formula>
    </cfRule>
  </conditionalFormatting>
  <conditionalFormatting sqref="Y82">
    <cfRule type="expression" dxfId="423" priority="578">
      <formula>Y84&gt;Y82</formula>
    </cfRule>
  </conditionalFormatting>
  <conditionalFormatting sqref="Y83">
    <cfRule type="expression" dxfId="422" priority="577">
      <formula>Y85&gt;Y83</formula>
    </cfRule>
  </conditionalFormatting>
  <conditionalFormatting sqref="Y85">
    <cfRule type="expression" dxfId="421" priority="576">
      <formula>Y85&gt;Y83</formula>
    </cfRule>
  </conditionalFormatting>
  <conditionalFormatting sqref="AA84">
    <cfRule type="expression" dxfId="420" priority="575">
      <formula>AA84&gt;AA82</formula>
    </cfRule>
  </conditionalFormatting>
  <conditionalFormatting sqref="AA82">
    <cfRule type="expression" dxfId="419" priority="574">
      <formula>AA84&gt;AA82</formula>
    </cfRule>
  </conditionalFormatting>
  <conditionalFormatting sqref="AA83">
    <cfRule type="expression" dxfId="418" priority="573">
      <formula>AA85&gt;AA83</formula>
    </cfRule>
  </conditionalFormatting>
  <conditionalFormatting sqref="AA85">
    <cfRule type="expression" dxfId="417" priority="572">
      <formula>AA85&gt;AA83</formula>
    </cfRule>
  </conditionalFormatting>
  <conditionalFormatting sqref="L88:AA88">
    <cfRule type="expression" dxfId="416" priority="571">
      <formula>L88&gt;L86</formula>
    </cfRule>
  </conditionalFormatting>
  <conditionalFormatting sqref="L86:AA86">
    <cfRule type="expression" dxfId="415" priority="570">
      <formula>L88&gt;L86</formula>
    </cfRule>
  </conditionalFormatting>
  <conditionalFormatting sqref="L87:AA87">
    <cfRule type="expression" dxfId="414" priority="569">
      <formula>L89&gt;L87</formula>
    </cfRule>
  </conditionalFormatting>
  <conditionalFormatting sqref="L89:AA89">
    <cfRule type="expression" dxfId="413" priority="568">
      <formula>L89&gt;L87</formula>
    </cfRule>
  </conditionalFormatting>
  <conditionalFormatting sqref="L92:AA92">
    <cfRule type="expression" dxfId="412" priority="567">
      <formula>L92&gt;L90</formula>
    </cfRule>
  </conditionalFormatting>
  <conditionalFormatting sqref="L90:AA90">
    <cfRule type="expression" dxfId="411" priority="566">
      <formula>L92&gt;L90</formula>
    </cfRule>
  </conditionalFormatting>
  <conditionalFormatting sqref="L91:AA91">
    <cfRule type="expression" dxfId="410" priority="565">
      <formula>L93&gt;L91</formula>
    </cfRule>
  </conditionalFormatting>
  <conditionalFormatting sqref="L93:AA93">
    <cfRule type="expression" dxfId="409" priority="564">
      <formula>L93&gt;L91</formula>
    </cfRule>
  </conditionalFormatting>
  <conditionalFormatting sqref="L96:AA96">
    <cfRule type="expression" dxfId="408" priority="563">
      <formula>L96&gt;L94</formula>
    </cfRule>
  </conditionalFormatting>
  <conditionalFormatting sqref="L94:AA94">
    <cfRule type="expression" dxfId="407" priority="562">
      <formula>L96&gt;L94</formula>
    </cfRule>
  </conditionalFormatting>
  <conditionalFormatting sqref="L95:AA95">
    <cfRule type="expression" dxfId="406" priority="561">
      <formula>L97&gt;L95</formula>
    </cfRule>
  </conditionalFormatting>
  <conditionalFormatting sqref="L97:AA97">
    <cfRule type="expression" dxfId="405" priority="560">
      <formula>L97&gt;L95</formula>
    </cfRule>
  </conditionalFormatting>
  <conditionalFormatting sqref="L100:AA100">
    <cfRule type="expression" dxfId="404" priority="559">
      <formula>L100&gt;L98</formula>
    </cfRule>
  </conditionalFormatting>
  <conditionalFormatting sqref="L98:AA98">
    <cfRule type="expression" dxfId="403" priority="558">
      <formula>L100&gt;L98</formula>
    </cfRule>
  </conditionalFormatting>
  <conditionalFormatting sqref="L99:AA99">
    <cfRule type="expression" dxfId="402" priority="557">
      <formula>L101&gt;L99</formula>
    </cfRule>
  </conditionalFormatting>
  <conditionalFormatting sqref="L101:AA101">
    <cfRule type="expression" dxfId="401" priority="556">
      <formula>L101&gt;L99</formula>
    </cfRule>
  </conditionalFormatting>
  <conditionalFormatting sqref="L104:AA104">
    <cfRule type="expression" dxfId="400" priority="555">
      <formula>L104&gt;L102</formula>
    </cfRule>
  </conditionalFormatting>
  <conditionalFormatting sqref="L102:AA102">
    <cfRule type="expression" dxfId="399" priority="554">
      <formula>L104&gt;L102</formula>
    </cfRule>
  </conditionalFormatting>
  <conditionalFormatting sqref="L103:AA103">
    <cfRule type="expression" dxfId="398" priority="553">
      <formula>L105&gt;L103</formula>
    </cfRule>
  </conditionalFormatting>
  <conditionalFormatting sqref="L105:AA105">
    <cfRule type="expression" dxfId="397" priority="552">
      <formula>L105&gt;L103</formula>
    </cfRule>
  </conditionalFormatting>
  <conditionalFormatting sqref="AK68:AK69">
    <cfRule type="notContainsBlanks" dxfId="396" priority="551">
      <formula>LEN(TRIM(AK68))&gt;0</formula>
    </cfRule>
  </conditionalFormatting>
  <conditionalFormatting sqref="AK70:AK71">
    <cfRule type="notContainsBlanks" dxfId="395" priority="550">
      <formula>LEN(TRIM(AK70))&gt;0</formula>
    </cfRule>
  </conditionalFormatting>
  <conditionalFormatting sqref="AK72:AK73">
    <cfRule type="notContainsBlanks" dxfId="394" priority="549">
      <formula>LEN(TRIM(AK72))&gt;0</formula>
    </cfRule>
  </conditionalFormatting>
  <conditionalFormatting sqref="AK74:AK75">
    <cfRule type="notContainsBlanks" dxfId="393" priority="548">
      <formula>LEN(TRIM(AK74))&gt;0</formula>
    </cfRule>
  </conditionalFormatting>
  <conditionalFormatting sqref="AK78:AK79">
    <cfRule type="notContainsBlanks" dxfId="392" priority="547">
      <formula>LEN(TRIM(AK78))&gt;0</formula>
    </cfRule>
  </conditionalFormatting>
  <conditionalFormatting sqref="AK82:AK83">
    <cfRule type="notContainsBlanks" dxfId="391" priority="546">
      <formula>LEN(TRIM(AK82))&gt;0</formula>
    </cfRule>
  </conditionalFormatting>
  <conditionalFormatting sqref="AK86:AK87">
    <cfRule type="notContainsBlanks" dxfId="390" priority="545">
      <formula>LEN(TRIM(AK86))&gt;0</formula>
    </cfRule>
  </conditionalFormatting>
  <conditionalFormatting sqref="AK90:AK91">
    <cfRule type="notContainsBlanks" dxfId="389" priority="544">
      <formula>LEN(TRIM(AK90))&gt;0</formula>
    </cfRule>
  </conditionalFormatting>
  <conditionalFormatting sqref="AK94:AK95">
    <cfRule type="notContainsBlanks" dxfId="388" priority="543">
      <formula>LEN(TRIM(AK94))&gt;0</formula>
    </cfRule>
  </conditionalFormatting>
  <conditionalFormatting sqref="AK98:AK99">
    <cfRule type="notContainsBlanks" dxfId="387" priority="542">
      <formula>LEN(TRIM(AK98))&gt;0</formula>
    </cfRule>
  </conditionalFormatting>
  <conditionalFormatting sqref="AK102:AK103">
    <cfRule type="notContainsBlanks" dxfId="386" priority="541">
      <formula>LEN(TRIM(AK102))&gt;0</formula>
    </cfRule>
  </conditionalFormatting>
  <conditionalFormatting sqref="K159 M159 O159 Q159 S159 U159 W159 Y159 AA159">
    <cfRule type="expression" dxfId="385" priority="3354">
      <formula>(K156+K157+K159)&gt;K149</formula>
    </cfRule>
  </conditionalFormatting>
  <conditionalFormatting sqref="F493">
    <cfRule type="cellIs" dxfId="384" priority="540" operator="equal">
      <formula>0</formula>
    </cfRule>
  </conditionalFormatting>
  <conditionalFormatting sqref="F488 L488 N488 P488 R488 T488 V488 X488 Z488 J488 H488 AB488 AD488 AF488 AH488">
    <cfRule type="cellIs" dxfId="383" priority="539" operator="equal">
      <formula>0</formula>
    </cfRule>
  </conditionalFormatting>
  <conditionalFormatting sqref="AJ128">
    <cfRule type="cellIs" dxfId="382" priority="538" operator="equal">
      <formula>0</formula>
    </cfRule>
  </conditionalFormatting>
  <conditionalFormatting sqref="J128:AA128">
    <cfRule type="cellIs" dxfId="381" priority="537" operator="equal">
      <formula>0</formula>
    </cfRule>
  </conditionalFormatting>
  <conditionalFormatting sqref="F439:Y439 AB439:AI439">
    <cfRule type="expression" dxfId="380" priority="530">
      <formula>F438&lt;&gt;F439+F440+F441+F442</formula>
    </cfRule>
  </conditionalFormatting>
  <conditionalFormatting sqref="F438:AI438">
    <cfRule type="expression" dxfId="379" priority="529">
      <formula>F438&lt;&gt;F439+F440+F441+F442</formula>
    </cfRule>
  </conditionalFormatting>
  <conditionalFormatting sqref="F440:Y440 AB440:AI440">
    <cfRule type="expression" dxfId="378" priority="528">
      <formula>F438&lt;&gt;F439+F440+F441+F442</formula>
    </cfRule>
  </conditionalFormatting>
  <conditionalFormatting sqref="F441:Y441 AB441:AI441">
    <cfRule type="expression" dxfId="377" priority="527">
      <formula>F438&lt;&gt;F439+F440+F441+F442</formula>
    </cfRule>
  </conditionalFormatting>
  <conditionalFormatting sqref="F442:Y442 AB442:AI442">
    <cfRule type="expression" dxfId="376" priority="526">
      <formula>F438&lt;&gt;F439+F440+F441+F442</formula>
    </cfRule>
  </conditionalFormatting>
  <conditionalFormatting sqref="F443:AI443">
    <cfRule type="cellIs" dxfId="375" priority="525" operator="equal">
      <formula>0</formula>
    </cfRule>
  </conditionalFormatting>
  <conditionalFormatting sqref="F444:Y444 AB444:AI444">
    <cfRule type="expression" dxfId="374" priority="524">
      <formula>F443&lt;&gt;F444+F445+F446+F447</formula>
    </cfRule>
  </conditionalFormatting>
  <conditionalFormatting sqref="F443:AI443">
    <cfRule type="expression" dxfId="373" priority="523">
      <formula>F443&lt;&gt;F444+F445+F446+F447</formula>
    </cfRule>
  </conditionalFormatting>
  <conditionalFormatting sqref="F445:Y445 AB445:AI445">
    <cfRule type="expression" dxfId="372" priority="522">
      <formula>F443&lt;&gt;F444+F445+F446+F447</formula>
    </cfRule>
  </conditionalFormatting>
  <conditionalFormatting sqref="F446:Y446 AB446:AI446">
    <cfRule type="expression" dxfId="371" priority="521">
      <formula>F443&lt;&gt;F444+F445+F446+F447</formula>
    </cfRule>
  </conditionalFormatting>
  <conditionalFormatting sqref="F447:Y447 AB447:AI447">
    <cfRule type="expression" dxfId="370" priority="520">
      <formula>F443&lt;&gt;F444+F445+F446+F447</formula>
    </cfRule>
  </conditionalFormatting>
  <conditionalFormatting sqref="F448:AI448">
    <cfRule type="cellIs" dxfId="369" priority="519" operator="equal">
      <formula>0</formula>
    </cfRule>
  </conditionalFormatting>
  <conditionalFormatting sqref="F449:Y449 AB449:AI449">
    <cfRule type="expression" dxfId="368" priority="518">
      <formula>F448&lt;&gt;F449+F450+F451+F452</formula>
    </cfRule>
  </conditionalFormatting>
  <conditionalFormatting sqref="F448:AI448">
    <cfRule type="expression" dxfId="367" priority="517">
      <formula>F448&lt;&gt;F449+F450+F451+F452</formula>
    </cfRule>
  </conditionalFormatting>
  <conditionalFormatting sqref="F450:Y450 AB450:AI450">
    <cfRule type="expression" dxfId="366" priority="516">
      <formula>F448&lt;&gt;F449+F450+F451+F452</formula>
    </cfRule>
  </conditionalFormatting>
  <conditionalFormatting sqref="F451:Y451 AB451:AI451">
    <cfRule type="expression" dxfId="365" priority="515">
      <formula>F448&lt;&gt;F449+F450+F451+F452</formula>
    </cfRule>
  </conditionalFormatting>
  <conditionalFormatting sqref="F452:Y452 AB452:AI452">
    <cfRule type="expression" dxfId="364" priority="514">
      <formula>F448&lt;&gt;F449+F450+F451+F452</formula>
    </cfRule>
  </conditionalFormatting>
  <conditionalFormatting sqref="F453:AI453">
    <cfRule type="cellIs" dxfId="363" priority="507" operator="equal">
      <formula>0</formula>
    </cfRule>
  </conditionalFormatting>
  <conditionalFormatting sqref="F454:Y454 AB454:AI454">
    <cfRule type="expression" dxfId="362" priority="506">
      <formula>F453&lt;&gt;F454+F455+F456+F457</formula>
    </cfRule>
  </conditionalFormatting>
  <conditionalFormatting sqref="F453:AI453">
    <cfRule type="expression" dxfId="361" priority="505">
      <formula>F453&lt;&gt;F454+F455+F456+F457</formula>
    </cfRule>
  </conditionalFormatting>
  <conditionalFormatting sqref="F455:Y455 AB455:AI455">
    <cfRule type="expression" dxfId="360" priority="504">
      <formula>F453&lt;&gt;F454+F455+F456+F457</formula>
    </cfRule>
  </conditionalFormatting>
  <conditionalFormatting sqref="F456:Y456 AB456:AI456">
    <cfRule type="expression" dxfId="359" priority="503">
      <formula>F453&lt;&gt;F454+F455+F456+F457</formula>
    </cfRule>
  </conditionalFormatting>
  <conditionalFormatting sqref="F457:Y457 AB457:AI457">
    <cfRule type="expression" dxfId="358" priority="502">
      <formula>F453&lt;&gt;F454+F455+F456+F457</formula>
    </cfRule>
  </conditionalFormatting>
  <conditionalFormatting sqref="F458:AI458">
    <cfRule type="cellIs" dxfId="357" priority="501" operator="equal">
      <formula>0</formula>
    </cfRule>
  </conditionalFormatting>
  <conditionalFormatting sqref="F459:Y459 AB459:AI459">
    <cfRule type="expression" dxfId="356" priority="500">
      <formula>F458&lt;&gt;F459+F460+F461+F462</formula>
    </cfRule>
  </conditionalFormatting>
  <conditionalFormatting sqref="F458:AI458">
    <cfRule type="expression" dxfId="355" priority="499">
      <formula>F458&lt;&gt;F459+F460+F461+F462</formula>
    </cfRule>
  </conditionalFormatting>
  <conditionalFormatting sqref="F460:Y460 AB460:AI460">
    <cfRule type="expression" dxfId="354" priority="498">
      <formula>F458&lt;&gt;F459+F460+F461+F462</formula>
    </cfRule>
  </conditionalFormatting>
  <conditionalFormatting sqref="F461:Y461 AB461:AI461">
    <cfRule type="expression" dxfId="353" priority="497">
      <formula>F458&lt;&gt;F459+F460+F461+F462</formula>
    </cfRule>
  </conditionalFormatting>
  <conditionalFormatting sqref="F462:Y462 AB462:AI462">
    <cfRule type="expression" dxfId="352" priority="496">
      <formula>F458&lt;&gt;F459+F460+F461+F462</formula>
    </cfRule>
  </conditionalFormatting>
  <conditionalFormatting sqref="F463:AI463">
    <cfRule type="cellIs" dxfId="351" priority="495" operator="equal">
      <formula>0</formula>
    </cfRule>
  </conditionalFormatting>
  <conditionalFormatting sqref="F464:Y464 AB464:AI464">
    <cfRule type="expression" dxfId="350" priority="494">
      <formula>F463&lt;&gt;F464+F465+F466+F467</formula>
    </cfRule>
  </conditionalFormatting>
  <conditionalFormatting sqref="F463:AI463">
    <cfRule type="expression" dxfId="349" priority="493">
      <formula>F463&lt;&gt;F464+F465+F466+F467</formula>
    </cfRule>
  </conditionalFormatting>
  <conditionalFormatting sqref="F465:Y465 AB465:AI465">
    <cfRule type="expression" dxfId="348" priority="492">
      <formula>F463&lt;&gt;F464+F465+F466+F467</formula>
    </cfRule>
  </conditionalFormatting>
  <conditionalFormatting sqref="F466:Y466 AB466:AI466">
    <cfRule type="expression" dxfId="347" priority="491">
      <formula>F463&lt;&gt;F464+F465+F466+F467</formula>
    </cfRule>
  </conditionalFormatting>
  <conditionalFormatting sqref="F467:Y467 AB467:AI467">
    <cfRule type="expression" dxfId="346" priority="490">
      <formula>F463&lt;&gt;F464+F465+F466+F467</formula>
    </cfRule>
  </conditionalFormatting>
  <conditionalFormatting sqref="F468:AI468">
    <cfRule type="cellIs" dxfId="345" priority="489" operator="equal">
      <formula>0</formula>
    </cfRule>
  </conditionalFormatting>
  <conditionalFormatting sqref="F469:Y469 AB469:AI469">
    <cfRule type="expression" dxfId="344" priority="488">
      <formula>F468&lt;&gt;F469+F470+F471+F472</formula>
    </cfRule>
  </conditionalFormatting>
  <conditionalFormatting sqref="F468:AI468">
    <cfRule type="expression" dxfId="343" priority="487">
      <formula>F468&lt;&gt;F469+F470+F471+F472</formula>
    </cfRule>
  </conditionalFormatting>
  <conditionalFormatting sqref="F470:Y470 AB470:AI470">
    <cfRule type="expression" dxfId="342" priority="486">
      <formula>F468&lt;&gt;F469+F470+F471+F472</formula>
    </cfRule>
  </conditionalFormatting>
  <conditionalFormatting sqref="F471:Y471 AB471:AI471">
    <cfRule type="expression" dxfId="341" priority="485">
      <formula>F468&lt;&gt;F469+F470+F471+F472</formula>
    </cfRule>
  </conditionalFormatting>
  <conditionalFormatting sqref="F472:Y472 AB472:AI472">
    <cfRule type="expression" dxfId="340" priority="484">
      <formula>F468&lt;&gt;F469+F470+F471+F472</formula>
    </cfRule>
  </conditionalFormatting>
  <conditionalFormatting sqref="F473:AI473">
    <cfRule type="cellIs" dxfId="339" priority="483" operator="equal">
      <formula>0</formula>
    </cfRule>
  </conditionalFormatting>
  <conditionalFormatting sqref="F474:Y474 AB474:AI474">
    <cfRule type="expression" dxfId="338" priority="482">
      <formula>F473&lt;&gt;F474+F475+F476+F477</formula>
    </cfRule>
  </conditionalFormatting>
  <conditionalFormatting sqref="F473:AI473">
    <cfRule type="expression" dxfId="337" priority="481">
      <formula>F473&lt;&gt;F474+F475+F476+F477</formula>
    </cfRule>
  </conditionalFormatting>
  <conditionalFormatting sqref="F475:Y475 AB475:AI475">
    <cfRule type="expression" dxfId="336" priority="480">
      <formula>F473&lt;&gt;F474+F475+F476+F477</formula>
    </cfRule>
  </conditionalFormatting>
  <conditionalFormatting sqref="F476:Y476 AB476:AI476">
    <cfRule type="expression" dxfId="335" priority="479">
      <formula>F473&lt;&gt;F474+F475+F476+F477</formula>
    </cfRule>
  </conditionalFormatting>
  <conditionalFormatting sqref="F477:Y477 AB477:AI477">
    <cfRule type="expression" dxfId="334" priority="478">
      <formula>F473&lt;&gt;F474+F475+F476+F477</formula>
    </cfRule>
  </conditionalFormatting>
  <conditionalFormatting sqref="L478:AI478">
    <cfRule type="cellIs" dxfId="333" priority="477" operator="equal">
      <formula>0</formula>
    </cfRule>
  </conditionalFormatting>
  <conditionalFormatting sqref="L479:Y479 AB479:AI479">
    <cfRule type="expression" dxfId="332" priority="476">
      <formula>L478&lt;&gt;L479+L480+L481+L482</formula>
    </cfRule>
  </conditionalFormatting>
  <conditionalFormatting sqref="L478:AI478">
    <cfRule type="expression" dxfId="331" priority="475">
      <formula>L478&lt;&gt;L479+L480+L481+L482</formula>
    </cfRule>
  </conditionalFormatting>
  <conditionalFormatting sqref="L480:Y480 AB480:AI480">
    <cfRule type="expression" dxfId="330" priority="474">
      <formula>L478&lt;&gt;L479+L480+L481+L482</formula>
    </cfRule>
  </conditionalFormatting>
  <conditionalFormatting sqref="L481:Y481 AB481:AI481">
    <cfRule type="expression" dxfId="329" priority="473">
      <formula>L478&lt;&gt;L479+L480+L481+L482</formula>
    </cfRule>
  </conditionalFormatting>
  <conditionalFormatting sqref="L482:Y482 AB482:AI482">
    <cfRule type="expression" dxfId="328" priority="472">
      <formula>L478&lt;&gt;L479+L480+L481+L482</formula>
    </cfRule>
  </conditionalFormatting>
  <conditionalFormatting sqref="F483:AI483">
    <cfRule type="cellIs" dxfId="327" priority="471" operator="equal">
      <formula>0</formula>
    </cfRule>
  </conditionalFormatting>
  <conditionalFormatting sqref="F484:Y484 AB484:AI484">
    <cfRule type="expression" dxfId="326" priority="470">
      <formula>F483&lt;&gt;F484+F485+F486+F487</formula>
    </cfRule>
  </conditionalFormatting>
  <conditionalFormatting sqref="F483:AI483">
    <cfRule type="expression" dxfId="325" priority="469">
      <formula>F483&lt;&gt;F484+F485+F486+F487</formula>
    </cfRule>
  </conditionalFormatting>
  <conditionalFormatting sqref="F485:Y485 AB485:AI485">
    <cfRule type="expression" dxfId="324" priority="468">
      <formula>F483&lt;&gt;F484+F485+F486+F487</formula>
    </cfRule>
  </conditionalFormatting>
  <conditionalFormatting sqref="F486:Y486 AB486:AI486">
    <cfRule type="expression" dxfId="323" priority="467">
      <formula>F483&lt;&gt;F484+F485+F486+F487</formula>
    </cfRule>
  </conditionalFormatting>
  <conditionalFormatting sqref="F487:Y487 AB487:AI487">
    <cfRule type="expression" dxfId="322" priority="466">
      <formula>F483&lt;&gt;F484+F485+F486+F487</formula>
    </cfRule>
  </conditionalFormatting>
  <conditionalFormatting sqref="K488">
    <cfRule type="cellIs" dxfId="321" priority="465" operator="equal">
      <formula>0</formula>
    </cfRule>
  </conditionalFormatting>
  <conditionalFormatting sqref="K489">
    <cfRule type="expression" dxfId="320" priority="464">
      <formula>K488&lt;&gt;K489+K490+K491+K492</formula>
    </cfRule>
  </conditionalFormatting>
  <conditionalFormatting sqref="K488">
    <cfRule type="expression" dxfId="319" priority="463">
      <formula>K488&lt;&gt;K489+K490+K491+K492</formula>
    </cfRule>
  </conditionalFormatting>
  <conditionalFormatting sqref="K490">
    <cfRule type="expression" dxfId="318" priority="462">
      <formula>K488&lt;&gt;K489+K490+K491+K492</formula>
    </cfRule>
  </conditionalFormatting>
  <conditionalFormatting sqref="K491">
    <cfRule type="expression" dxfId="317" priority="461">
      <formula>K488&lt;&gt;K489+K490+K491+K492</formula>
    </cfRule>
  </conditionalFormatting>
  <conditionalFormatting sqref="K492">
    <cfRule type="expression" dxfId="316" priority="460">
      <formula>K488&lt;&gt;K489+K490+K491+K492</formula>
    </cfRule>
  </conditionalFormatting>
  <conditionalFormatting sqref="M488">
    <cfRule type="cellIs" dxfId="315" priority="459" operator="equal">
      <formula>0</formula>
    </cfRule>
  </conditionalFormatting>
  <conditionalFormatting sqref="M489">
    <cfRule type="expression" dxfId="314" priority="458">
      <formula>M488&lt;&gt;M489+M490+M491+M492</formula>
    </cfRule>
  </conditionalFormatting>
  <conditionalFormatting sqref="M488">
    <cfRule type="expression" dxfId="313" priority="457">
      <formula>M488&lt;&gt;M489+M490+M491+M492</formula>
    </cfRule>
  </conditionalFormatting>
  <conditionalFormatting sqref="M490">
    <cfRule type="expression" dxfId="312" priority="456">
      <formula>M488&lt;&gt;M489+M490+M491+M492</formula>
    </cfRule>
  </conditionalFormatting>
  <conditionalFormatting sqref="M491">
    <cfRule type="expression" dxfId="311" priority="455">
      <formula>M488&lt;&gt;M489+M490+M491+M492</formula>
    </cfRule>
  </conditionalFormatting>
  <conditionalFormatting sqref="M492">
    <cfRule type="expression" dxfId="310" priority="454">
      <formula>M488&lt;&gt;M489+M490+M491+M492</formula>
    </cfRule>
  </conditionalFormatting>
  <conditionalFormatting sqref="O488">
    <cfRule type="cellIs" dxfId="309" priority="453" operator="equal">
      <formula>0</formula>
    </cfRule>
  </conditionalFormatting>
  <conditionalFormatting sqref="O489">
    <cfRule type="expression" dxfId="308" priority="452">
      <formula>O488&lt;&gt;O489+O490+O491+O492</formula>
    </cfRule>
  </conditionalFormatting>
  <conditionalFormatting sqref="O488">
    <cfRule type="expression" dxfId="307" priority="451">
      <formula>O488&lt;&gt;O489+O490+O491+O492</formula>
    </cfRule>
  </conditionalFormatting>
  <conditionalFormatting sqref="O490">
    <cfRule type="expression" dxfId="306" priority="450">
      <formula>O488&lt;&gt;O489+O490+O491+O492</formula>
    </cfRule>
  </conditionalFormatting>
  <conditionalFormatting sqref="O491">
    <cfRule type="expression" dxfId="305" priority="449">
      <formula>O488&lt;&gt;O489+O490+O491+O492</formula>
    </cfRule>
  </conditionalFormatting>
  <conditionalFormatting sqref="O492">
    <cfRule type="expression" dxfId="304" priority="448">
      <formula>O488&lt;&gt;O489+O490+O491+O492</formula>
    </cfRule>
  </conditionalFormatting>
  <conditionalFormatting sqref="Q488">
    <cfRule type="cellIs" dxfId="303" priority="447" operator="equal">
      <formula>0</formula>
    </cfRule>
  </conditionalFormatting>
  <conditionalFormatting sqref="Q489">
    <cfRule type="expression" dxfId="302" priority="446">
      <formula>Q488&lt;&gt;Q489+Q490+Q491+Q492</formula>
    </cfRule>
  </conditionalFormatting>
  <conditionalFormatting sqref="Q488">
    <cfRule type="expression" dxfId="301" priority="445">
      <formula>Q488&lt;&gt;Q489+Q490+Q491+Q492</formula>
    </cfRule>
  </conditionalFormatting>
  <conditionalFormatting sqref="Q490">
    <cfRule type="expression" dxfId="300" priority="444">
      <formula>Q488&lt;&gt;Q489+Q490+Q491+Q492</formula>
    </cfRule>
  </conditionalFormatting>
  <conditionalFormatting sqref="Q491">
    <cfRule type="expression" dxfId="299" priority="443">
      <formula>Q488&lt;&gt;Q489+Q490+Q491+Q492</formula>
    </cfRule>
  </conditionalFormatting>
  <conditionalFormatting sqref="Q492">
    <cfRule type="expression" dxfId="298" priority="442">
      <formula>Q488&lt;&gt;Q489+Q490+Q491+Q492</formula>
    </cfRule>
  </conditionalFormatting>
  <conditionalFormatting sqref="S488">
    <cfRule type="cellIs" dxfId="297" priority="441" operator="equal">
      <formula>0</formula>
    </cfRule>
  </conditionalFormatting>
  <conditionalFormatting sqref="S489">
    <cfRule type="expression" dxfId="296" priority="440">
      <formula>S488&lt;&gt;S489+S490+S491+S492</formula>
    </cfRule>
  </conditionalFormatting>
  <conditionalFormatting sqref="S488">
    <cfRule type="expression" dxfId="295" priority="439">
      <formula>S488&lt;&gt;S489+S490+S491+S492</formula>
    </cfRule>
  </conditionalFormatting>
  <conditionalFormatting sqref="S490">
    <cfRule type="expression" dxfId="294" priority="438">
      <formula>S488&lt;&gt;S489+S490+S491+S492</formula>
    </cfRule>
  </conditionalFormatting>
  <conditionalFormatting sqref="S491">
    <cfRule type="expression" dxfId="293" priority="437">
      <formula>S488&lt;&gt;S489+S490+S491+S492</formula>
    </cfRule>
  </conditionalFormatting>
  <conditionalFormatting sqref="S492">
    <cfRule type="expression" dxfId="292" priority="436">
      <formula>S488&lt;&gt;S489+S490+S491+S492</formula>
    </cfRule>
  </conditionalFormatting>
  <conditionalFormatting sqref="U488">
    <cfRule type="cellIs" dxfId="291" priority="435" operator="equal">
      <formula>0</formula>
    </cfRule>
  </conditionalFormatting>
  <conditionalFormatting sqref="U489">
    <cfRule type="expression" dxfId="290" priority="434">
      <formula>U488&lt;&gt;U489+U490+U491+U492</formula>
    </cfRule>
  </conditionalFormatting>
  <conditionalFormatting sqref="U488">
    <cfRule type="expression" dxfId="289" priority="433">
      <formula>U488&lt;&gt;U489+U490+U491+U492</formula>
    </cfRule>
  </conditionalFormatting>
  <conditionalFormatting sqref="U490">
    <cfRule type="expression" dxfId="288" priority="432">
      <formula>U488&lt;&gt;U489+U490+U491+U492</formula>
    </cfRule>
  </conditionalFormatting>
  <conditionalFormatting sqref="U491">
    <cfRule type="expression" dxfId="287" priority="431">
      <formula>U488&lt;&gt;U489+U490+U491+U492</formula>
    </cfRule>
  </conditionalFormatting>
  <conditionalFormatting sqref="U492">
    <cfRule type="expression" dxfId="286" priority="430">
      <formula>U488&lt;&gt;U489+U490+U491+U492</formula>
    </cfRule>
  </conditionalFormatting>
  <conditionalFormatting sqref="W488">
    <cfRule type="cellIs" dxfId="285" priority="429" operator="equal">
      <formula>0</formula>
    </cfRule>
  </conditionalFormatting>
  <conditionalFormatting sqref="W489">
    <cfRule type="expression" dxfId="284" priority="428">
      <formula>W488&lt;&gt;W489+W490+W491+W492</formula>
    </cfRule>
  </conditionalFormatting>
  <conditionalFormatting sqref="W488">
    <cfRule type="expression" dxfId="283" priority="427">
      <formula>W488&lt;&gt;W489+W490+W491+W492</formula>
    </cfRule>
  </conditionalFormatting>
  <conditionalFormatting sqref="W490">
    <cfRule type="expression" dxfId="282" priority="426">
      <formula>W488&lt;&gt;W489+W490+W491+W492</formula>
    </cfRule>
  </conditionalFormatting>
  <conditionalFormatting sqref="W491">
    <cfRule type="expression" dxfId="281" priority="425">
      <formula>W488&lt;&gt;W489+W490+W491+W492</formula>
    </cfRule>
  </conditionalFormatting>
  <conditionalFormatting sqref="W492">
    <cfRule type="expression" dxfId="280" priority="424">
      <formula>W488&lt;&gt;W489+W490+W491+W492</formula>
    </cfRule>
  </conditionalFormatting>
  <conditionalFormatting sqref="Y488">
    <cfRule type="cellIs" dxfId="279" priority="423" operator="equal">
      <formula>0</formula>
    </cfRule>
  </conditionalFormatting>
  <conditionalFormatting sqref="Y489">
    <cfRule type="expression" dxfId="278" priority="422">
      <formula>Y488&lt;&gt;Y489+Y490+Y491+Y492</formula>
    </cfRule>
  </conditionalFormatting>
  <conditionalFormatting sqref="Y488">
    <cfRule type="expression" dxfId="277" priority="421">
      <formula>Y488&lt;&gt;Y489+Y490+Y491+Y492</formula>
    </cfRule>
  </conditionalFormatting>
  <conditionalFormatting sqref="Y490">
    <cfRule type="expression" dxfId="276" priority="420">
      <formula>Y488&lt;&gt;Y489+Y490+Y491+Y492</formula>
    </cfRule>
  </conditionalFormatting>
  <conditionalFormatting sqref="Y491">
    <cfRule type="expression" dxfId="275" priority="419">
      <formula>Y488&lt;&gt;Y489+Y490+Y491+Y492</formula>
    </cfRule>
  </conditionalFormatting>
  <conditionalFormatting sqref="Y492">
    <cfRule type="expression" dxfId="274" priority="418">
      <formula>Y488&lt;&gt;Y489+Y490+Y491+Y492</formula>
    </cfRule>
  </conditionalFormatting>
  <conditionalFormatting sqref="AA488 AC488 AE488 AG488 AI488">
    <cfRule type="cellIs" dxfId="273" priority="417" operator="equal">
      <formula>0</formula>
    </cfRule>
  </conditionalFormatting>
  <conditionalFormatting sqref="AC489 AE489 AG489 AI489">
    <cfRule type="expression" dxfId="272" priority="416">
      <formula>AC488&lt;&gt;AC489+AC490+AC491+AC492</formula>
    </cfRule>
  </conditionalFormatting>
  <conditionalFormatting sqref="AA488 AC488 AE488 AG488 AI488">
    <cfRule type="expression" dxfId="271" priority="415">
      <formula>AA488&lt;&gt;AA489+AA490+AA491+AA492</formula>
    </cfRule>
  </conditionalFormatting>
  <conditionalFormatting sqref="AC490 AE490 AG490 AI490">
    <cfRule type="expression" dxfId="270" priority="414">
      <formula>AC488&lt;&gt;AC489+AC490+AC491+AC492</formula>
    </cfRule>
  </conditionalFormatting>
  <conditionalFormatting sqref="AC491 AE491 AG491 AI491">
    <cfRule type="expression" dxfId="269" priority="413">
      <formula>AC488&lt;&gt;AC489+AC490+AC491+AC492</formula>
    </cfRule>
  </conditionalFormatting>
  <conditionalFormatting sqref="AC492 AE492 AG492 AI492">
    <cfRule type="expression" dxfId="268" priority="412">
      <formula>AC488&lt;&gt;AC489+AC490+AC491+AC492</formula>
    </cfRule>
  </conditionalFormatting>
  <conditionalFormatting sqref="I488">
    <cfRule type="cellIs" dxfId="267" priority="411" operator="equal">
      <formula>0</formula>
    </cfRule>
  </conditionalFormatting>
  <conditionalFormatting sqref="I489">
    <cfRule type="expression" dxfId="266" priority="410">
      <formula>I488&lt;&gt;I489+I490+I491+I492</formula>
    </cfRule>
  </conditionalFormatting>
  <conditionalFormatting sqref="I488">
    <cfRule type="expression" dxfId="265" priority="409">
      <formula>I488&lt;&gt;I489+I490+I491+I492</formula>
    </cfRule>
  </conditionalFormatting>
  <conditionalFormatting sqref="I490">
    <cfRule type="expression" dxfId="264" priority="408">
      <formula>I488&lt;&gt;I489+I490+I491+I492</formula>
    </cfRule>
  </conditionalFormatting>
  <conditionalFormatting sqref="I491">
    <cfRule type="expression" dxfId="263" priority="407">
      <formula>I488&lt;&gt;I489+I490+I491+I492</formula>
    </cfRule>
  </conditionalFormatting>
  <conditionalFormatting sqref="I492">
    <cfRule type="expression" dxfId="262" priority="406">
      <formula>I488&lt;&gt;I489+I490+I491+I492</formula>
    </cfRule>
  </conditionalFormatting>
  <conditionalFormatting sqref="G488">
    <cfRule type="cellIs" dxfId="261" priority="405" operator="equal">
      <formula>0</formula>
    </cfRule>
  </conditionalFormatting>
  <conditionalFormatting sqref="G489">
    <cfRule type="expression" dxfId="260" priority="404">
      <formula>G488&lt;&gt;G489+G490+G491+G492</formula>
    </cfRule>
  </conditionalFormatting>
  <conditionalFormatting sqref="G488">
    <cfRule type="expression" dxfId="259" priority="403">
      <formula>G488&lt;&gt;G489+G490+G491+G492</formula>
    </cfRule>
  </conditionalFormatting>
  <conditionalFormatting sqref="G490">
    <cfRule type="expression" dxfId="258" priority="402">
      <formula>G488&lt;&gt;G489+G490+G491+G492</formula>
    </cfRule>
  </conditionalFormatting>
  <conditionalFormatting sqref="G491">
    <cfRule type="expression" dxfId="257" priority="401">
      <formula>G488&lt;&gt;G489+G490+G491+G492</formula>
    </cfRule>
  </conditionalFormatting>
  <conditionalFormatting sqref="G492">
    <cfRule type="expression" dxfId="256" priority="400">
      <formula>G488&lt;&gt;G489+G490+G491+G492</formula>
    </cfRule>
  </conditionalFormatting>
  <conditionalFormatting sqref="G493:AI493">
    <cfRule type="cellIs" dxfId="255" priority="399" operator="equal">
      <formula>0</formula>
    </cfRule>
  </conditionalFormatting>
  <conditionalFormatting sqref="G494">
    <cfRule type="expression" dxfId="254" priority="398">
      <formula>G493&lt;&gt;G494+G495+G496+G497</formula>
    </cfRule>
  </conditionalFormatting>
  <conditionalFormatting sqref="G493:AI493">
    <cfRule type="expression" dxfId="253" priority="397">
      <formula>G493&lt;&gt;G494+G495+G496+G497</formula>
    </cfRule>
  </conditionalFormatting>
  <conditionalFormatting sqref="G495">
    <cfRule type="expression" dxfId="252" priority="396">
      <formula>G493&lt;&gt;G494+G495+G496+G497</formula>
    </cfRule>
  </conditionalFormatting>
  <conditionalFormatting sqref="G496">
    <cfRule type="expression" dxfId="251" priority="395">
      <formula>G493&lt;&gt;G494+G495+G496+G497</formula>
    </cfRule>
  </conditionalFormatting>
  <conditionalFormatting sqref="G497">
    <cfRule type="expression" dxfId="250" priority="394">
      <formula>G493&lt;&gt;G494+G495+G496+G497</formula>
    </cfRule>
  </conditionalFormatting>
  <conditionalFormatting sqref="I494">
    <cfRule type="expression" dxfId="249" priority="392">
      <formula>I493&lt;&gt;I494+I495+I496+I497</formula>
    </cfRule>
  </conditionalFormatting>
  <conditionalFormatting sqref="I495">
    <cfRule type="expression" dxfId="248" priority="390">
      <formula>I493&lt;&gt;I494+I495+I496+I497</formula>
    </cfRule>
  </conditionalFormatting>
  <conditionalFormatting sqref="I496">
    <cfRule type="expression" dxfId="247" priority="389">
      <formula>I493&lt;&gt;I494+I495+I496+I497</formula>
    </cfRule>
  </conditionalFormatting>
  <conditionalFormatting sqref="I497">
    <cfRule type="expression" dxfId="246" priority="388">
      <formula>I493&lt;&gt;I494+I495+I496+I497</formula>
    </cfRule>
  </conditionalFormatting>
  <conditionalFormatting sqref="K494">
    <cfRule type="expression" dxfId="245" priority="386">
      <formula>K493&lt;&gt;K494+K495+K496+K497</formula>
    </cfRule>
  </conditionalFormatting>
  <conditionalFormatting sqref="K495">
    <cfRule type="expression" dxfId="244" priority="384">
      <formula>K493&lt;&gt;K494+K495+K496+K497</formula>
    </cfRule>
  </conditionalFormatting>
  <conditionalFormatting sqref="K496">
    <cfRule type="expression" dxfId="243" priority="383">
      <formula>K493&lt;&gt;K494+K495+K496+K497</formula>
    </cfRule>
  </conditionalFormatting>
  <conditionalFormatting sqref="K497">
    <cfRule type="expression" dxfId="242" priority="382">
      <formula>K493&lt;&gt;K494+K495+K496+K497</formula>
    </cfRule>
  </conditionalFormatting>
  <conditionalFormatting sqref="M494">
    <cfRule type="expression" dxfId="241" priority="380">
      <formula>M493&lt;&gt;M494+M495+M496+M497</formula>
    </cfRule>
  </conditionalFormatting>
  <conditionalFormatting sqref="M495">
    <cfRule type="expression" dxfId="240" priority="378">
      <formula>M493&lt;&gt;M494+M495+M496+M497</formula>
    </cfRule>
  </conditionalFormatting>
  <conditionalFormatting sqref="M496">
    <cfRule type="expression" dxfId="239" priority="377">
      <formula>M493&lt;&gt;M494+M495+M496+M497</formula>
    </cfRule>
  </conditionalFormatting>
  <conditionalFormatting sqref="M497">
    <cfRule type="expression" dxfId="238" priority="376">
      <formula>M493&lt;&gt;M494+M495+M496+M497</formula>
    </cfRule>
  </conditionalFormatting>
  <conditionalFormatting sqref="O494">
    <cfRule type="expression" dxfId="237" priority="374">
      <formula>O493&lt;&gt;O494+O495+O496+O497</formula>
    </cfRule>
  </conditionalFormatting>
  <conditionalFormatting sqref="O495">
    <cfRule type="expression" dxfId="236" priority="372">
      <formula>O493&lt;&gt;O494+O495+O496+O497</formula>
    </cfRule>
  </conditionalFormatting>
  <conditionalFormatting sqref="O496">
    <cfRule type="expression" dxfId="235" priority="371">
      <formula>O493&lt;&gt;O494+O495+O496+O497</formula>
    </cfRule>
  </conditionalFormatting>
  <conditionalFormatting sqref="O497">
    <cfRule type="expression" dxfId="234" priority="370">
      <formula>O493&lt;&gt;O494+O495+O496+O497</formula>
    </cfRule>
  </conditionalFormatting>
  <conditionalFormatting sqref="Q494">
    <cfRule type="expression" dxfId="233" priority="368">
      <formula>Q493&lt;&gt;Q494+Q495+Q496+Q497</formula>
    </cfRule>
  </conditionalFormatting>
  <conditionalFormatting sqref="Q495">
    <cfRule type="expression" dxfId="232" priority="366">
      <formula>Q493&lt;&gt;Q494+Q495+Q496+Q497</formula>
    </cfRule>
  </conditionalFormatting>
  <conditionalFormatting sqref="Q496">
    <cfRule type="expression" dxfId="231" priority="365">
      <formula>Q493&lt;&gt;Q494+Q495+Q496+Q497</formula>
    </cfRule>
  </conditionalFormatting>
  <conditionalFormatting sqref="Q497">
    <cfRule type="expression" dxfId="230" priority="364">
      <formula>Q493&lt;&gt;Q494+Q495+Q496+Q497</formula>
    </cfRule>
  </conditionalFormatting>
  <conditionalFormatting sqref="S494">
    <cfRule type="expression" dxfId="229" priority="362">
      <formula>S493&lt;&gt;S494+S495+S496+S497</formula>
    </cfRule>
  </conditionalFormatting>
  <conditionalFormatting sqref="S495">
    <cfRule type="expression" dxfId="228" priority="360">
      <formula>S493&lt;&gt;S494+S495+S496+S497</formula>
    </cfRule>
  </conditionalFormatting>
  <conditionalFormatting sqref="S496">
    <cfRule type="expression" dxfId="227" priority="359">
      <formula>S493&lt;&gt;S494+S495+S496+S497</formula>
    </cfRule>
  </conditionalFormatting>
  <conditionalFormatting sqref="S497">
    <cfRule type="expression" dxfId="226" priority="358">
      <formula>S493&lt;&gt;S494+S495+S496+S497</formula>
    </cfRule>
  </conditionalFormatting>
  <conditionalFormatting sqref="U494">
    <cfRule type="expression" dxfId="225" priority="356">
      <formula>U493&lt;&gt;U494+U495+U496+U497</formula>
    </cfRule>
  </conditionalFormatting>
  <conditionalFormatting sqref="U495">
    <cfRule type="expression" dxfId="224" priority="354">
      <formula>U493&lt;&gt;U494+U495+U496+U497</formula>
    </cfRule>
  </conditionalFormatting>
  <conditionalFormatting sqref="U496">
    <cfRule type="expression" dxfId="223" priority="353">
      <formula>U493&lt;&gt;U494+U495+U496+U497</formula>
    </cfRule>
  </conditionalFormatting>
  <conditionalFormatting sqref="U497">
    <cfRule type="expression" dxfId="222" priority="352">
      <formula>U493&lt;&gt;U494+U495+U496+U497</formula>
    </cfRule>
  </conditionalFormatting>
  <conditionalFormatting sqref="W494">
    <cfRule type="expression" dxfId="221" priority="350">
      <formula>W493&lt;&gt;W494+W495+W496+W497</formula>
    </cfRule>
  </conditionalFormatting>
  <conditionalFormatting sqref="W495">
    <cfRule type="expression" dxfId="220" priority="348">
      <formula>W493&lt;&gt;W494+W495+W496+W497</formula>
    </cfRule>
  </conditionalFormatting>
  <conditionalFormatting sqref="W496">
    <cfRule type="expression" dxfId="219" priority="347">
      <formula>W493&lt;&gt;W494+W495+W496+W497</formula>
    </cfRule>
  </conditionalFormatting>
  <conditionalFormatting sqref="W497">
    <cfRule type="expression" dxfId="218" priority="346">
      <formula>W493&lt;&gt;W494+W495+W496+W497</formula>
    </cfRule>
  </conditionalFormatting>
  <conditionalFormatting sqref="Y494">
    <cfRule type="expression" dxfId="217" priority="344">
      <formula>Y493&lt;&gt;Y494+Y495+Y496+Y497</formula>
    </cfRule>
  </conditionalFormatting>
  <conditionalFormatting sqref="Y495">
    <cfRule type="expression" dxfId="216" priority="342">
      <formula>Y493&lt;&gt;Y494+Y495+Y496+Y497</formula>
    </cfRule>
  </conditionalFormatting>
  <conditionalFormatting sqref="Y496">
    <cfRule type="expression" dxfId="215" priority="341">
      <formula>Y493&lt;&gt;Y494+Y495+Y496+Y497</formula>
    </cfRule>
  </conditionalFormatting>
  <conditionalFormatting sqref="Y497">
    <cfRule type="expression" dxfId="214" priority="340">
      <formula>Y493&lt;&gt;Y494+Y495+Y496+Y497</formula>
    </cfRule>
  </conditionalFormatting>
  <conditionalFormatting sqref="AC494 AE494 AG494 AI494">
    <cfRule type="expression" dxfId="213" priority="338">
      <formula>AC493&lt;&gt;AC494+AC495+AC496+AC497</formula>
    </cfRule>
  </conditionalFormatting>
  <conditionalFormatting sqref="AC495 AE495 AG495 AI495">
    <cfRule type="expression" dxfId="212" priority="336">
      <formula>AC493&lt;&gt;AC494+AC495+AC496+AC497</formula>
    </cfRule>
  </conditionalFormatting>
  <conditionalFormatting sqref="AC496 AE496 AG496 AI496">
    <cfRule type="expression" dxfId="211" priority="335">
      <formula>AC493&lt;&gt;AC494+AC495+AC496+AC497</formula>
    </cfRule>
  </conditionalFormatting>
  <conditionalFormatting sqref="AC497 AE497 AG497 AI497">
    <cfRule type="expression" dxfId="210" priority="334">
      <formula>AC493&lt;&gt;AC494+AC495+AC496+AC497</formula>
    </cfRule>
  </conditionalFormatting>
  <conditionalFormatting sqref="AK493">
    <cfRule type="notContainsBlanks" dxfId="209" priority="333">
      <formula>LEN(TRIM(AK493))&gt;0</formula>
    </cfRule>
  </conditionalFormatting>
  <conditionalFormatting sqref="AK488">
    <cfRule type="notContainsBlanks" dxfId="208" priority="332">
      <formula>LEN(TRIM(AK488))&gt;0</formula>
    </cfRule>
  </conditionalFormatting>
  <conditionalFormatting sqref="AK483">
    <cfRule type="notContainsBlanks" dxfId="207" priority="331">
      <formula>LEN(TRIM(AK483))&gt;0</formula>
    </cfRule>
  </conditionalFormatting>
  <conditionalFormatting sqref="AK478">
    <cfRule type="notContainsBlanks" dxfId="206" priority="330">
      <formula>LEN(TRIM(AK478))&gt;0</formula>
    </cfRule>
  </conditionalFormatting>
  <conditionalFormatting sqref="AK473">
    <cfRule type="notContainsBlanks" dxfId="205" priority="329">
      <formula>LEN(TRIM(AK473))&gt;0</formula>
    </cfRule>
  </conditionalFormatting>
  <conditionalFormatting sqref="AK468">
    <cfRule type="notContainsBlanks" dxfId="204" priority="328">
      <formula>LEN(TRIM(AK468))&gt;0</formula>
    </cfRule>
  </conditionalFormatting>
  <conditionalFormatting sqref="AK463">
    <cfRule type="notContainsBlanks" dxfId="203" priority="327">
      <formula>LEN(TRIM(AK463))&gt;0</formula>
    </cfRule>
  </conditionalFormatting>
  <conditionalFormatting sqref="AK458">
    <cfRule type="notContainsBlanks" dxfId="202" priority="326">
      <formula>LEN(TRIM(AK458))&gt;0</formula>
    </cfRule>
  </conditionalFormatting>
  <conditionalFormatting sqref="AK453">
    <cfRule type="notContainsBlanks" dxfId="201" priority="325">
      <formula>LEN(TRIM(AK453))&gt;0</formula>
    </cfRule>
  </conditionalFormatting>
  <conditionalFormatting sqref="AK448">
    <cfRule type="notContainsBlanks" dxfId="200" priority="324">
      <formula>LEN(TRIM(AK448))&gt;0</formula>
    </cfRule>
  </conditionalFormatting>
  <conditionalFormatting sqref="AK443">
    <cfRule type="notContainsBlanks" dxfId="199" priority="323">
      <formula>LEN(TRIM(AK443))&gt;0</formula>
    </cfRule>
  </conditionalFormatting>
  <conditionalFormatting sqref="AK438">
    <cfRule type="notContainsBlanks" dxfId="198" priority="322">
      <formula>LEN(TRIM(AK438))&gt;0</formula>
    </cfRule>
  </conditionalFormatting>
  <conditionalFormatting sqref="AK220">
    <cfRule type="notContainsBlanks" dxfId="197" priority="321">
      <formula>LEN(TRIM(AK220))&gt;0</formula>
    </cfRule>
  </conditionalFormatting>
  <conditionalFormatting sqref="AK228">
    <cfRule type="notContainsBlanks" dxfId="196" priority="320">
      <formula>LEN(TRIM(AK228))&gt;0</formula>
    </cfRule>
  </conditionalFormatting>
  <conditionalFormatting sqref="AA211:AA234">
    <cfRule type="cellIs" dxfId="195" priority="308" operator="equal">
      <formula>0</formula>
    </cfRule>
  </conditionalFormatting>
  <conditionalFormatting sqref="Z347:AA352">
    <cfRule type="cellIs" dxfId="194" priority="318" operator="equal">
      <formula>0</formula>
    </cfRule>
  </conditionalFormatting>
  <conditionalFormatting sqref="Z389:AA389">
    <cfRule type="cellIs" dxfId="193" priority="315" operator="equal">
      <formula>0</formula>
    </cfRule>
  </conditionalFormatting>
  <conditionalFormatting sqref="Z374:AA378 Z380:AA388">
    <cfRule type="cellIs" dxfId="192" priority="314" operator="equal">
      <formula>0</formula>
    </cfRule>
  </conditionalFormatting>
  <conditionalFormatting sqref="AM32">
    <cfRule type="notContainsBlanks" dxfId="191" priority="306">
      <formula>LEN(TRIM(AM32))&gt;0</formula>
    </cfRule>
  </conditionalFormatting>
  <conditionalFormatting sqref="AJ32">
    <cfRule type="cellIs" dxfId="190" priority="305" operator="equal">
      <formula>0</formula>
    </cfRule>
  </conditionalFormatting>
  <conditionalFormatting sqref="F27:Y27 AB27:AI27">
    <cfRule type="expression" dxfId="189" priority="301">
      <formula>(F32+F31+F30)&lt;&gt;F27</formula>
    </cfRule>
  </conditionalFormatting>
  <conditionalFormatting sqref="F51:Y51 AB51:AI51">
    <cfRule type="expression" dxfId="188" priority="299">
      <formula>F52&gt;F51</formula>
    </cfRule>
  </conditionalFormatting>
  <conditionalFormatting sqref="F51">
    <cfRule type="expression" dxfId="187" priority="298">
      <formula>F51&lt;F53</formula>
    </cfRule>
  </conditionalFormatting>
  <conditionalFormatting sqref="F52:Y52 AB52:AI52">
    <cfRule type="expression" dxfId="186" priority="297">
      <formula>F51&lt;F52</formula>
    </cfRule>
  </conditionalFormatting>
  <conditionalFormatting sqref="AM119:AM120">
    <cfRule type="notContainsBlanks" dxfId="185" priority="295">
      <formula>LEN(TRIM(AM119))&gt;0</formula>
    </cfRule>
  </conditionalFormatting>
  <conditionalFormatting sqref="J119:AA119">
    <cfRule type="expression" dxfId="184" priority="293">
      <formula>J120&gt;J119</formula>
    </cfRule>
  </conditionalFormatting>
  <conditionalFormatting sqref="AJ119:AJ120">
    <cfRule type="notContainsBlanks" dxfId="183" priority="289">
      <formula>LEN(TRIM(AJ119))&gt;0</formula>
    </cfRule>
  </conditionalFormatting>
  <conditionalFormatting sqref="AM56:AM57">
    <cfRule type="notContainsBlanks" dxfId="182" priority="288">
      <formula>LEN(TRIM(AM56))&gt;0</formula>
    </cfRule>
  </conditionalFormatting>
  <conditionalFormatting sqref="D56:AI57">
    <cfRule type="cellIs" dxfId="181" priority="287" operator="equal">
      <formula>0</formula>
    </cfRule>
  </conditionalFormatting>
  <conditionalFormatting sqref="AJ56">
    <cfRule type="cellIs" dxfId="180" priority="286" operator="equal">
      <formula>0</formula>
    </cfRule>
  </conditionalFormatting>
  <conditionalFormatting sqref="D56:AI57">
    <cfRule type="cellIs" dxfId="179" priority="285" operator="equal">
      <formula>0</formula>
    </cfRule>
  </conditionalFormatting>
  <conditionalFormatting sqref="AJ57">
    <cfRule type="cellIs" dxfId="178" priority="284" operator="equal">
      <formula>0</formula>
    </cfRule>
  </conditionalFormatting>
  <conditionalFormatting sqref="AJ57">
    <cfRule type="cellIs" dxfId="177" priority="283" operator="equal">
      <formula>0</formula>
    </cfRule>
  </conditionalFormatting>
  <conditionalFormatting sqref="D56:AI56">
    <cfRule type="expression" dxfId="176" priority="282">
      <formula>D56&gt;D16</formula>
    </cfRule>
  </conditionalFormatting>
  <conditionalFormatting sqref="AK313">
    <cfRule type="notContainsBlanks" dxfId="175" priority="277">
      <formula>LEN(TRIM(AK313))&gt;0</formula>
    </cfRule>
  </conditionalFormatting>
  <conditionalFormatting sqref="AM312:AM313">
    <cfRule type="notContainsBlanks" dxfId="174" priority="276">
      <formula>LEN(TRIM(AM312))&gt;0</formula>
    </cfRule>
  </conditionalFormatting>
  <conditionalFormatting sqref="AJ312:AJ313">
    <cfRule type="cellIs" dxfId="173" priority="275" operator="equal">
      <formula>0</formula>
    </cfRule>
  </conditionalFormatting>
  <conditionalFormatting sqref="K312">
    <cfRule type="expression" dxfId="172" priority="278">
      <formula>K341&gt;K312</formula>
    </cfRule>
  </conditionalFormatting>
  <conditionalFormatting sqref="K312">
    <cfRule type="expression" dxfId="171" priority="274">
      <formula>K313&gt;K312</formula>
    </cfRule>
  </conditionalFormatting>
  <conditionalFormatting sqref="M312">
    <cfRule type="expression" dxfId="170" priority="273">
      <formula>M313&gt;M312</formula>
    </cfRule>
  </conditionalFormatting>
  <conditionalFormatting sqref="O312">
    <cfRule type="expression" dxfId="169" priority="272">
      <formula>O313&gt;O312</formula>
    </cfRule>
  </conditionalFormatting>
  <conditionalFormatting sqref="Q312">
    <cfRule type="expression" dxfId="168" priority="271">
      <formula>Q313&gt;Q312</formula>
    </cfRule>
  </conditionalFormatting>
  <conditionalFormatting sqref="Q313">
    <cfRule type="expression" dxfId="167" priority="270">
      <formula>Q313&gt;Q312</formula>
    </cfRule>
  </conditionalFormatting>
  <conditionalFormatting sqref="AK312">
    <cfRule type="notContainsBlanks" dxfId="166" priority="269">
      <formula>LEN(TRIM(AK312))&gt;0</formula>
    </cfRule>
  </conditionalFormatting>
  <conditionalFormatting sqref="Q313">
    <cfRule type="expression" dxfId="165" priority="267">
      <formula>Q340&gt;Q313</formula>
    </cfRule>
  </conditionalFormatting>
  <conditionalFormatting sqref="Q313">
    <cfRule type="expression" dxfId="164" priority="268">
      <formula>Q313&gt;Q312</formula>
    </cfRule>
  </conditionalFormatting>
  <conditionalFormatting sqref="S312">
    <cfRule type="expression" dxfId="163" priority="266">
      <formula>S313&gt;S312</formula>
    </cfRule>
  </conditionalFormatting>
  <conditionalFormatting sqref="U312">
    <cfRule type="expression" dxfId="162" priority="265">
      <formula>U313&gt;U312</formula>
    </cfRule>
  </conditionalFormatting>
  <conditionalFormatting sqref="W312">
    <cfRule type="expression" dxfId="161" priority="264">
      <formula>W313&gt;W312</formula>
    </cfRule>
  </conditionalFormatting>
  <conditionalFormatting sqref="Y312">
    <cfRule type="expression" dxfId="160" priority="263">
      <formula>Y313&gt;Y312</formula>
    </cfRule>
  </conditionalFormatting>
  <conditionalFormatting sqref="O313">
    <cfRule type="expression" dxfId="159" priority="262">
      <formula>O313&gt;O312</formula>
    </cfRule>
  </conditionalFormatting>
  <conditionalFormatting sqref="O313">
    <cfRule type="expression" dxfId="158" priority="260">
      <formula>O340&gt;O313</formula>
    </cfRule>
  </conditionalFormatting>
  <conditionalFormatting sqref="O313">
    <cfRule type="expression" dxfId="157" priority="261">
      <formula>O313&gt;O312</formula>
    </cfRule>
  </conditionalFormatting>
  <conditionalFormatting sqref="M313">
    <cfRule type="expression" dxfId="156" priority="259">
      <formula>M313&gt;M312</formula>
    </cfRule>
  </conditionalFormatting>
  <conditionalFormatting sqref="M313">
    <cfRule type="expression" dxfId="155" priority="257">
      <formula>M340&gt;M313</formula>
    </cfRule>
  </conditionalFormatting>
  <conditionalFormatting sqref="M313">
    <cfRule type="expression" dxfId="154" priority="258">
      <formula>M313&gt;M312</formula>
    </cfRule>
  </conditionalFormatting>
  <conditionalFormatting sqref="K313">
    <cfRule type="expression" dxfId="153" priority="256">
      <formula>K313&gt;K312</formula>
    </cfRule>
  </conditionalFormatting>
  <conditionalFormatting sqref="K313">
    <cfRule type="expression" dxfId="152" priority="254">
      <formula>K340&gt;K313</formula>
    </cfRule>
  </conditionalFormatting>
  <conditionalFormatting sqref="K313">
    <cfRule type="expression" dxfId="151" priority="255">
      <formula>K313&gt;K312</formula>
    </cfRule>
  </conditionalFormatting>
  <conditionalFormatting sqref="S313">
    <cfRule type="expression" dxfId="150" priority="253">
      <formula>S313&gt;S312</formula>
    </cfRule>
  </conditionalFormatting>
  <conditionalFormatting sqref="S313">
    <cfRule type="expression" dxfId="149" priority="251">
      <formula>S340&gt;S313</formula>
    </cfRule>
  </conditionalFormatting>
  <conditionalFormatting sqref="S313">
    <cfRule type="expression" dxfId="148" priority="252">
      <formula>S313&gt;S312</formula>
    </cfRule>
  </conditionalFormatting>
  <conditionalFormatting sqref="U313">
    <cfRule type="expression" dxfId="147" priority="250">
      <formula>U313&gt;U312</formula>
    </cfRule>
  </conditionalFormatting>
  <conditionalFormatting sqref="U313">
    <cfRule type="expression" dxfId="146" priority="248">
      <formula>U340&gt;U313</formula>
    </cfRule>
  </conditionalFormatting>
  <conditionalFormatting sqref="U313">
    <cfRule type="expression" dxfId="145" priority="249">
      <formula>U313&gt;U312</formula>
    </cfRule>
  </conditionalFormatting>
  <conditionalFormatting sqref="W313">
    <cfRule type="expression" dxfId="144" priority="247">
      <formula>W313&gt;W312</formula>
    </cfRule>
  </conditionalFormatting>
  <conditionalFormatting sqref="W313">
    <cfRule type="expression" dxfId="143" priority="245">
      <formula>W340&gt;W313</formula>
    </cfRule>
  </conditionalFormatting>
  <conditionalFormatting sqref="W313">
    <cfRule type="expression" dxfId="142" priority="246">
      <formula>W313&gt;W312</formula>
    </cfRule>
  </conditionalFormatting>
  <conditionalFormatting sqref="Y313">
    <cfRule type="expression" dxfId="141" priority="244">
      <formula>Y313&gt;Y312</formula>
    </cfRule>
  </conditionalFormatting>
  <conditionalFormatting sqref="Y313">
    <cfRule type="expression" dxfId="140" priority="242">
      <formula>Y340&gt;Y313</formula>
    </cfRule>
  </conditionalFormatting>
  <conditionalFormatting sqref="Y313">
    <cfRule type="expression" dxfId="139" priority="243">
      <formula>Y313&gt;Y312</formula>
    </cfRule>
  </conditionalFormatting>
  <conditionalFormatting sqref="AK59:AK60">
    <cfRule type="notContainsBlanks" dxfId="138" priority="219">
      <formula>LEN(TRIM(AK59))&gt;0</formula>
    </cfRule>
  </conditionalFormatting>
  <conditionalFormatting sqref="AM59:AM60">
    <cfRule type="notContainsBlanks" dxfId="137" priority="218">
      <formula>LEN(TRIM(AM59))&gt;0</formula>
    </cfRule>
  </conditionalFormatting>
  <conditionalFormatting sqref="AM59">
    <cfRule type="notContainsBlanks" dxfId="136" priority="217">
      <formula>LEN(TRIM(AM59))&gt;0</formula>
    </cfRule>
  </conditionalFormatting>
  <conditionalFormatting sqref="AL59:AL60">
    <cfRule type="notContainsBlanks" dxfId="135" priority="220">
      <formula>LEN(TRIM(AL59))&gt;0</formula>
    </cfRule>
  </conditionalFormatting>
  <conditionalFormatting sqref="AJ59">
    <cfRule type="cellIs" dxfId="134" priority="216" operator="equal">
      <formula>0</formula>
    </cfRule>
  </conditionalFormatting>
  <conditionalFormatting sqref="AJ60">
    <cfRule type="cellIs" dxfId="133" priority="215" operator="equal">
      <formula>0</formula>
    </cfRule>
  </conditionalFormatting>
  <conditionalFormatting sqref="L59:AA59">
    <cfRule type="expression" dxfId="132" priority="214">
      <formula>L60&gt;L59</formula>
    </cfRule>
  </conditionalFormatting>
  <conditionalFormatting sqref="AK61:AK62">
    <cfRule type="notContainsBlanks" dxfId="131" priority="208">
      <formula>LEN(TRIM(AK61))&gt;0</formula>
    </cfRule>
  </conditionalFormatting>
  <conditionalFormatting sqref="AM61:AM62">
    <cfRule type="notContainsBlanks" dxfId="130" priority="207">
      <formula>LEN(TRIM(AM61))&gt;0</formula>
    </cfRule>
  </conditionalFormatting>
  <conditionalFormatting sqref="AM61">
    <cfRule type="notContainsBlanks" dxfId="129" priority="206">
      <formula>LEN(TRIM(AM61))&gt;0</formula>
    </cfRule>
  </conditionalFormatting>
  <conditionalFormatting sqref="AL61:AL62">
    <cfRule type="notContainsBlanks" dxfId="128" priority="209">
      <formula>LEN(TRIM(AL61))&gt;0</formula>
    </cfRule>
  </conditionalFormatting>
  <conditionalFormatting sqref="AJ61">
    <cfRule type="cellIs" dxfId="127" priority="205" operator="equal">
      <formula>0</formula>
    </cfRule>
  </conditionalFormatting>
  <conditionalFormatting sqref="AJ62">
    <cfRule type="cellIs" dxfId="126" priority="204" operator="equal">
      <formula>0</formula>
    </cfRule>
  </conditionalFormatting>
  <conditionalFormatting sqref="L61:AA61">
    <cfRule type="expression" dxfId="125" priority="203">
      <formula>L62&gt;L61</formula>
    </cfRule>
  </conditionalFormatting>
  <conditionalFormatting sqref="K169 M169 O169 Q169 S169 U169 W169 Y169 AA169">
    <cfRule type="expression" dxfId="124" priority="189">
      <formula>(K166+K167+K169)&gt;K159</formula>
    </cfRule>
  </conditionalFormatting>
  <conditionalFormatting sqref="J170 L170 N170 P170 R170 T170 V170 X170 Z170">
    <cfRule type="expression" dxfId="123" priority="188">
      <formula>(J167+J168+J170)&gt;J160</formula>
    </cfRule>
  </conditionalFormatting>
  <conditionalFormatting sqref="AK181">
    <cfRule type="notContainsBlanks" dxfId="122" priority="184">
      <formula>LEN(TRIM(AK181))&gt;0</formula>
    </cfRule>
  </conditionalFormatting>
  <conditionalFormatting sqref="AM181:AN181">
    <cfRule type="notContainsBlanks" dxfId="121" priority="182">
      <formula>LEN(TRIM(AM181))&gt;0</formula>
    </cfRule>
  </conditionalFormatting>
  <conditionalFormatting sqref="AJ181">
    <cfRule type="cellIs" dxfId="120" priority="181" operator="equal">
      <formula>0</formula>
    </cfRule>
  </conditionalFormatting>
  <conditionalFormatting sqref="AK338">
    <cfRule type="notContainsBlanks" dxfId="119" priority="171">
      <formula>LEN(TRIM(AK338))&gt;0</formula>
    </cfRule>
  </conditionalFormatting>
  <conditionalFormatting sqref="AM338">
    <cfRule type="notContainsBlanks" dxfId="118" priority="170">
      <formula>LEN(TRIM(AM338))&gt;0</formula>
    </cfRule>
  </conditionalFormatting>
  <conditionalFormatting sqref="AL338">
    <cfRule type="notContainsBlanks" dxfId="117" priority="172">
      <formula>LEN(TRIM(AL338))&gt;0</formula>
    </cfRule>
  </conditionalFormatting>
  <conditionalFormatting sqref="AJ338">
    <cfRule type="cellIs" dxfId="116" priority="169" operator="equal">
      <formula>0</formula>
    </cfRule>
  </conditionalFormatting>
  <conditionalFormatting sqref="K338">
    <cfRule type="expression" dxfId="115" priority="168">
      <formula>K338&gt;K312</formula>
    </cfRule>
  </conditionalFormatting>
  <conditionalFormatting sqref="M338">
    <cfRule type="expression" dxfId="114" priority="167">
      <formula>M338&gt;M312</formula>
    </cfRule>
  </conditionalFormatting>
  <conditionalFormatting sqref="O338">
    <cfRule type="expression" dxfId="113" priority="166">
      <formula>O338&gt;O312</formula>
    </cfRule>
  </conditionalFormatting>
  <conditionalFormatting sqref="Q338">
    <cfRule type="expression" dxfId="112" priority="165">
      <formula>Q338&gt;Q312</formula>
    </cfRule>
  </conditionalFormatting>
  <conditionalFormatting sqref="S338">
    <cfRule type="expression" dxfId="111" priority="164">
      <formula>S338&gt;S312</formula>
    </cfRule>
  </conditionalFormatting>
  <conditionalFormatting sqref="U338">
    <cfRule type="expression" dxfId="110" priority="163">
      <formula>U338&gt;U312</formula>
    </cfRule>
  </conditionalFormatting>
  <conditionalFormatting sqref="W338">
    <cfRule type="expression" dxfId="109" priority="162">
      <formula>W338&gt;W312</formula>
    </cfRule>
  </conditionalFormatting>
  <conditionalFormatting sqref="Y338">
    <cfRule type="expression" dxfId="108" priority="161">
      <formula>Y338&gt;Y312</formula>
    </cfRule>
  </conditionalFormatting>
  <conditionalFormatting sqref="AA328:AA338">
    <cfRule type="cellIs" dxfId="107" priority="153" operator="equal">
      <formula>0</formula>
    </cfRule>
  </conditionalFormatting>
  <conditionalFormatting sqref="AB330">
    <cfRule type="cellIs" dxfId="106" priority="152" operator="equal">
      <formula>0</formula>
    </cfRule>
  </conditionalFormatting>
  <conditionalFormatting sqref="AD330">
    <cfRule type="cellIs" dxfId="105" priority="149" operator="equal">
      <formula>0</formula>
    </cfRule>
  </conditionalFormatting>
  <conditionalFormatting sqref="AF330">
    <cfRule type="cellIs" dxfId="104" priority="148" operator="equal">
      <formula>0</formula>
    </cfRule>
  </conditionalFormatting>
  <conditionalFormatting sqref="AH330">
    <cfRule type="cellIs" dxfId="103" priority="147" operator="equal">
      <formula>0</formula>
    </cfRule>
  </conditionalFormatting>
  <conditionalFormatting sqref="D184:AA185">
    <cfRule type="expression" dxfId="102" priority="3396">
      <formula>D186&gt;D184</formula>
    </cfRule>
  </conditionalFormatting>
  <conditionalFormatting sqref="AK196">
    <cfRule type="notContainsBlanks" dxfId="101" priority="128">
      <formula>LEN(TRIM(AK196))&gt;0</formula>
    </cfRule>
  </conditionalFormatting>
  <conditionalFormatting sqref="AK197">
    <cfRule type="notContainsBlanks" dxfId="100" priority="127">
      <formula>LEN(TRIM(AK197))&gt;0</formula>
    </cfRule>
  </conditionalFormatting>
  <conditionalFormatting sqref="AK198">
    <cfRule type="notContainsBlanks" dxfId="99" priority="126">
      <formula>LEN(TRIM(AK198))&gt;0</formula>
    </cfRule>
  </conditionalFormatting>
  <conditionalFormatting sqref="AK199">
    <cfRule type="notContainsBlanks" dxfId="98" priority="125">
      <formula>LEN(TRIM(AK199))&gt;0</formula>
    </cfRule>
  </conditionalFormatting>
  <conditionalFormatting sqref="AM196:AN196 AM197:AM199">
    <cfRule type="notContainsBlanks" dxfId="97" priority="124">
      <formula>LEN(TRIM(AM196))&gt;0</formula>
    </cfRule>
  </conditionalFormatting>
  <conditionalFormatting sqref="AJ196:AJ199">
    <cfRule type="cellIs" dxfId="96" priority="123" operator="equal">
      <formula>0</formula>
    </cfRule>
  </conditionalFormatting>
  <conditionalFormatting sqref="D196:AA196">
    <cfRule type="expression" dxfId="95" priority="122">
      <formula>D198&gt;D196</formula>
    </cfRule>
  </conditionalFormatting>
  <conditionalFormatting sqref="D197:AA197">
    <cfRule type="expression" dxfId="94" priority="121">
      <formula>D199&gt;D197</formula>
    </cfRule>
  </conditionalFormatting>
  <conditionalFormatting sqref="D198:AA198">
    <cfRule type="expression" dxfId="93" priority="120">
      <formula>D198&gt;D196</formula>
    </cfRule>
  </conditionalFormatting>
  <conditionalFormatting sqref="D199:AA199">
    <cfRule type="expression" dxfId="92" priority="119">
      <formula>D199&gt;D197</formula>
    </cfRule>
  </conditionalFormatting>
  <conditionalFormatting sqref="D196:AA196">
    <cfRule type="expression" dxfId="91" priority="129">
      <formula>SUM(D196:D197)&gt;D375</formula>
    </cfRule>
  </conditionalFormatting>
  <conditionalFormatting sqref="D197:E197">
    <cfRule type="expression" dxfId="90" priority="130">
      <formula>SUM(D196:D197)&gt;D375</formula>
    </cfRule>
  </conditionalFormatting>
  <conditionalFormatting sqref="D198:AA199">
    <cfRule type="expression" dxfId="89" priority="131">
      <formula>D212&gt;D198</formula>
    </cfRule>
  </conditionalFormatting>
  <conditionalFormatting sqref="AM200:AM207">
    <cfRule type="notContainsBlanks" dxfId="88" priority="118">
      <formula>LEN(TRIM(AM200))&gt;0</formula>
    </cfRule>
  </conditionalFormatting>
  <conditionalFormatting sqref="AJ200:AJ207">
    <cfRule type="cellIs" dxfId="87" priority="117" operator="equal">
      <formula>0</formula>
    </cfRule>
  </conditionalFormatting>
  <conditionalFormatting sqref="D182:AA182">
    <cfRule type="expression" dxfId="86" priority="3398">
      <formula>SUM(D182:D183)&gt;D359</formula>
    </cfRule>
  </conditionalFormatting>
  <conditionalFormatting sqref="D183:E183">
    <cfRule type="expression" dxfId="85" priority="3399">
      <formula>SUM(D182:D183)&gt;D359</formula>
    </cfRule>
  </conditionalFormatting>
  <conditionalFormatting sqref="AK195">
    <cfRule type="notContainsBlanks" dxfId="84" priority="116">
      <formula>LEN(TRIM(AK195))&gt;0</formula>
    </cfRule>
  </conditionalFormatting>
  <conditionalFormatting sqref="AM195">
    <cfRule type="notContainsBlanks" dxfId="83" priority="115">
      <formula>LEN(TRIM(AM195))&gt;0</formula>
    </cfRule>
  </conditionalFormatting>
  <conditionalFormatting sqref="AJ195">
    <cfRule type="cellIs" dxfId="82" priority="114" operator="equal">
      <formula>0</formula>
    </cfRule>
  </conditionalFormatting>
  <conditionalFormatting sqref="AL195">
    <cfRule type="notContainsBlanks" dxfId="81" priority="113">
      <formula>LEN(TRIM(AL195))&gt;0</formula>
    </cfRule>
  </conditionalFormatting>
  <conditionalFormatting sqref="Z422:AA426 Z428:AA432">
    <cfRule type="cellIs" dxfId="80" priority="112" operator="equal">
      <formula>0</formula>
    </cfRule>
  </conditionalFormatting>
  <conditionalFormatting sqref="Z439:AA442">
    <cfRule type="cellIs" dxfId="79" priority="111" operator="equal">
      <formula>0</formula>
    </cfRule>
  </conditionalFormatting>
  <conditionalFormatting sqref="Z444:AA447">
    <cfRule type="cellIs" dxfId="78" priority="110" operator="equal">
      <formula>0</formula>
    </cfRule>
  </conditionalFormatting>
  <conditionalFormatting sqref="Z449:AA452">
    <cfRule type="cellIs" dxfId="77" priority="109" operator="equal">
      <formula>0</formula>
    </cfRule>
  </conditionalFormatting>
  <conditionalFormatting sqref="Z454:AA457">
    <cfRule type="cellIs" dxfId="76" priority="108" operator="equal">
      <formula>0</formula>
    </cfRule>
  </conditionalFormatting>
  <conditionalFormatting sqref="Z459:AA462">
    <cfRule type="cellIs" dxfId="75" priority="107" operator="equal">
      <formula>0</formula>
    </cfRule>
  </conditionalFormatting>
  <conditionalFormatting sqref="Z464:AA467">
    <cfRule type="cellIs" dxfId="74" priority="106" operator="equal">
      <formula>0</formula>
    </cfRule>
  </conditionalFormatting>
  <conditionalFormatting sqref="Z469:AA472">
    <cfRule type="cellIs" dxfId="73" priority="105" operator="equal">
      <formula>0</formula>
    </cfRule>
  </conditionalFormatting>
  <conditionalFormatting sqref="Z474:AA477">
    <cfRule type="cellIs" dxfId="72" priority="104" operator="equal">
      <formula>0</formula>
    </cfRule>
  </conditionalFormatting>
  <conditionalFormatting sqref="Z479:AA482">
    <cfRule type="cellIs" dxfId="71" priority="103" operator="equal">
      <formula>0</formula>
    </cfRule>
  </conditionalFormatting>
  <conditionalFormatting sqref="Z484:AA487">
    <cfRule type="cellIs" dxfId="70" priority="102" operator="equal">
      <formula>0</formula>
    </cfRule>
  </conditionalFormatting>
  <conditionalFormatting sqref="AA489:AA492">
    <cfRule type="cellIs" dxfId="69" priority="101" operator="equal">
      <formula>0</formula>
    </cfRule>
  </conditionalFormatting>
  <conditionalFormatting sqref="AA494:AA497">
    <cfRule type="cellIs" dxfId="68" priority="100" operator="equal">
      <formula>0</formula>
    </cfRule>
  </conditionalFormatting>
  <conditionalFormatting sqref="Z22:AA25">
    <cfRule type="cellIs" dxfId="67" priority="99" operator="equal">
      <formula>0</formula>
    </cfRule>
  </conditionalFormatting>
  <conditionalFormatting sqref="Z27:AA32">
    <cfRule type="cellIs" dxfId="66" priority="98" operator="equal">
      <formula>0</formula>
    </cfRule>
  </conditionalFormatting>
  <conditionalFormatting sqref="Z33:AA34">
    <cfRule type="cellIs" dxfId="65" priority="97" operator="equal">
      <formula>0</formula>
    </cfRule>
  </conditionalFormatting>
  <conditionalFormatting sqref="Z35:AA36">
    <cfRule type="cellIs" dxfId="64" priority="96" operator="equal">
      <formula>0</formula>
    </cfRule>
  </conditionalFormatting>
  <conditionalFormatting sqref="Z41:AA42">
    <cfRule type="cellIs" dxfId="63" priority="95" operator="equal">
      <formula>0</formula>
    </cfRule>
  </conditionalFormatting>
  <conditionalFormatting sqref="Z43:AA44">
    <cfRule type="cellIs" dxfId="62" priority="94" operator="equal">
      <formula>0</formula>
    </cfRule>
  </conditionalFormatting>
  <conditionalFormatting sqref="Z45:AA46">
    <cfRule type="cellIs" dxfId="61" priority="93" operator="equal">
      <formula>0</formula>
    </cfRule>
  </conditionalFormatting>
  <conditionalFormatting sqref="Z47:AA48">
    <cfRule type="cellIs" dxfId="60" priority="92" operator="equal">
      <formula>0</formula>
    </cfRule>
  </conditionalFormatting>
  <conditionalFormatting sqref="Z51:AA53">
    <cfRule type="cellIs" dxfId="59" priority="91" operator="equal">
      <formula>0</formula>
    </cfRule>
  </conditionalFormatting>
  <conditionalFormatting sqref="K137">
    <cfRule type="cellIs" dxfId="58" priority="90" operator="equal">
      <formula>0</formula>
    </cfRule>
  </conditionalFormatting>
  <conditionalFormatting sqref="M137">
    <cfRule type="cellIs" dxfId="57" priority="89" operator="equal">
      <formula>0</formula>
    </cfRule>
  </conditionalFormatting>
  <conditionalFormatting sqref="O137">
    <cfRule type="cellIs" dxfId="56" priority="88" operator="equal">
      <formula>0</formula>
    </cfRule>
  </conditionalFormatting>
  <conditionalFormatting sqref="Q137">
    <cfRule type="cellIs" dxfId="55" priority="87" operator="equal">
      <formula>0</formula>
    </cfRule>
  </conditionalFormatting>
  <conditionalFormatting sqref="S137">
    <cfRule type="cellIs" dxfId="54" priority="86" operator="equal">
      <formula>0</formula>
    </cfRule>
  </conditionalFormatting>
  <conditionalFormatting sqref="U137">
    <cfRule type="cellIs" dxfId="53" priority="85" operator="equal">
      <formula>0</formula>
    </cfRule>
  </conditionalFormatting>
  <conditionalFormatting sqref="W137">
    <cfRule type="cellIs" dxfId="52" priority="84" operator="equal">
      <formula>0</formula>
    </cfRule>
  </conditionalFormatting>
  <conditionalFormatting sqref="Y137">
    <cfRule type="cellIs" dxfId="51" priority="83" operator="equal">
      <formula>0</formula>
    </cfRule>
  </conditionalFormatting>
  <conditionalFormatting sqref="AA137">
    <cfRule type="cellIs" dxfId="50" priority="82" operator="equal">
      <formula>0</formula>
    </cfRule>
  </conditionalFormatting>
  <conditionalFormatting sqref="AM140:AM141">
    <cfRule type="notContainsBlanks" dxfId="49" priority="80">
      <formula>LEN(TRIM(AM140))&gt;0</formula>
    </cfRule>
  </conditionalFormatting>
  <conditionalFormatting sqref="AM142:AM144">
    <cfRule type="notContainsBlanks" dxfId="48" priority="77">
      <formula>LEN(TRIM(AM142))&gt;0</formula>
    </cfRule>
  </conditionalFormatting>
  <conditionalFormatting sqref="AM171:AM172">
    <cfRule type="notContainsBlanks" dxfId="47" priority="74">
      <formula>LEN(TRIM(AM171))&gt;0</formula>
    </cfRule>
  </conditionalFormatting>
  <conditionalFormatting sqref="AM173:AM175">
    <cfRule type="notContainsBlanks" dxfId="46" priority="71">
      <formula>LEN(TRIM(AM173))&gt;0</formula>
    </cfRule>
  </conditionalFormatting>
  <conditionalFormatting sqref="AM145">
    <cfRule type="notContainsBlanks" dxfId="45" priority="67">
      <formula>LEN(TRIM(AM145))&gt;0</formula>
    </cfRule>
  </conditionalFormatting>
  <conditionalFormatting sqref="AM176">
    <cfRule type="notContainsBlanks" dxfId="44" priority="63">
      <formula>LEN(TRIM(AM176))&gt;0</formula>
    </cfRule>
  </conditionalFormatting>
  <conditionalFormatting sqref="AB355:AI355">
    <cfRule type="expression" dxfId="43" priority="57">
      <formula>AB355&gt;AB368</formula>
    </cfRule>
  </conditionalFormatting>
  <conditionalFormatting sqref="Z354:AA355">
    <cfRule type="cellIs" dxfId="42" priority="55" operator="equal">
      <formula>0</formula>
    </cfRule>
  </conditionalFormatting>
  <conditionalFormatting sqref="AJ354:AJ356">
    <cfRule type="cellIs" dxfId="41" priority="51" operator="equal">
      <formula>0</formula>
    </cfRule>
  </conditionalFormatting>
  <conditionalFormatting sqref="AB356:AI356">
    <cfRule type="expression" dxfId="40" priority="50">
      <formula>AB356&gt;AB369</formula>
    </cfRule>
  </conditionalFormatting>
  <conditionalFormatting sqref="Z356:AA356">
    <cfRule type="cellIs" dxfId="39" priority="48" operator="equal">
      <formula>0</formula>
    </cfRule>
  </conditionalFormatting>
  <conditionalFormatting sqref="AJ357">
    <cfRule type="cellIs" dxfId="38" priority="44" operator="equal">
      <formula>0</formula>
    </cfRule>
  </conditionalFormatting>
  <conditionalFormatting sqref="AB357:AI357">
    <cfRule type="expression" dxfId="37" priority="43">
      <formula>AB357&gt;AB370</formula>
    </cfRule>
  </conditionalFormatting>
  <conditionalFormatting sqref="Z357:AA357">
    <cfRule type="cellIs" dxfId="36" priority="41" operator="equal">
      <formula>0</formula>
    </cfRule>
  </conditionalFormatting>
  <conditionalFormatting sqref="D354:Y354 AB354:AI354">
    <cfRule type="cellIs" dxfId="35" priority="37" operator="equal">
      <formula>0</formula>
    </cfRule>
  </conditionalFormatting>
  <conditionalFormatting sqref="D354:Y354 AB354:AI354">
    <cfRule type="cellIs" dxfId="34" priority="36" operator="equal">
      <formula>0</formula>
    </cfRule>
  </conditionalFormatting>
  <conditionalFormatting sqref="I346">
    <cfRule type="expression" dxfId="33" priority="3441">
      <formula>#REF!&gt;I346</formula>
    </cfRule>
  </conditionalFormatting>
  <conditionalFormatting sqref="D379:AI379">
    <cfRule type="expression" dxfId="32" priority="3442">
      <formula>D390&gt;D379</formula>
    </cfRule>
  </conditionalFormatting>
  <conditionalFormatting sqref="D387:Y387">
    <cfRule type="expression" dxfId="31" priority="3444">
      <formula>D387&gt;SUM(D381:D383)</formula>
    </cfRule>
  </conditionalFormatting>
  <conditionalFormatting sqref="AB384:AI384 D384:Y386">
    <cfRule type="expression" dxfId="30" priority="3445">
      <formula>D390&gt;D384</formula>
    </cfRule>
  </conditionalFormatting>
  <conditionalFormatting sqref="J140:AA140">
    <cfRule type="expression" dxfId="29" priority="30">
      <formula>(J141+J140)&lt;&gt;J128</formula>
    </cfRule>
  </conditionalFormatting>
  <conditionalFormatting sqref="J141:AA141">
    <cfRule type="expression" dxfId="28" priority="29">
      <formula>(J141+J140)&lt;&gt;J128</formula>
    </cfRule>
  </conditionalFormatting>
  <conditionalFormatting sqref="J128:AA128">
    <cfRule type="expression" dxfId="27" priority="28">
      <formula>(J141+J140)&lt;&gt;J128</formula>
    </cfRule>
  </conditionalFormatting>
  <conditionalFormatting sqref="J142:AA142">
    <cfRule type="expression" dxfId="26" priority="27">
      <formula>(J142+J143+J144)&lt;&gt;J128</formula>
    </cfRule>
  </conditionalFormatting>
  <conditionalFormatting sqref="J143:AA143">
    <cfRule type="expression" dxfId="25" priority="26">
      <formula>(J142+J143+J144)&lt;&gt;J128</formula>
    </cfRule>
  </conditionalFormatting>
  <conditionalFormatting sqref="J144:AA144">
    <cfRule type="expression" dxfId="24" priority="25">
      <formula>(J142+J143+J144)&lt;&gt;J128</formula>
    </cfRule>
  </conditionalFormatting>
  <conditionalFormatting sqref="J128:AA128">
    <cfRule type="expression" dxfId="23" priority="24">
      <formula>(J142+J143+J144)&lt;&gt;J128</formula>
    </cfRule>
  </conditionalFormatting>
  <conditionalFormatting sqref="J145:AA145">
    <cfRule type="expression" dxfId="22" priority="23">
      <formula>J145&gt;J128</formula>
    </cfRule>
  </conditionalFormatting>
  <conditionalFormatting sqref="J128:AA128">
    <cfRule type="expression" dxfId="21" priority="22">
      <formula>J145&gt;J128</formula>
    </cfRule>
  </conditionalFormatting>
  <conditionalFormatting sqref="J171:AA171">
    <cfRule type="expression" dxfId="20" priority="21">
      <formula>(J171+J172)&lt;&gt;J147</formula>
    </cfRule>
  </conditionalFormatting>
  <conditionalFormatting sqref="J172:AA172">
    <cfRule type="expression" dxfId="19" priority="20">
      <formula>(J171+J172)&lt;&gt;J147</formula>
    </cfRule>
  </conditionalFormatting>
  <conditionalFormatting sqref="J147:AA147">
    <cfRule type="expression" dxfId="18" priority="19">
      <formula>(J171+J172)&lt;&gt;J147</formula>
    </cfRule>
  </conditionalFormatting>
  <conditionalFormatting sqref="J173:AA173">
    <cfRule type="expression" dxfId="17" priority="18">
      <formula>(J173+J174+J175)&lt;&gt;J147</formula>
    </cfRule>
  </conditionalFormatting>
  <conditionalFormatting sqref="J174:AA174">
    <cfRule type="expression" dxfId="16" priority="17">
      <formula>(J173+J174+J175)&lt;&gt;J147</formula>
    </cfRule>
  </conditionalFormatting>
  <conditionalFormatting sqref="J175:AA175">
    <cfRule type="expression" dxfId="15" priority="16">
      <formula>(J173+J174+J175)&lt;&gt;J147</formula>
    </cfRule>
  </conditionalFormatting>
  <conditionalFormatting sqref="J147:AA147">
    <cfRule type="expression" dxfId="14" priority="15">
      <formula>(J173+J174+J175)&lt;&gt;J147</formula>
    </cfRule>
  </conditionalFormatting>
  <conditionalFormatting sqref="J176:AA176">
    <cfRule type="expression" dxfId="13" priority="14">
      <formula>J176&gt;J147</formula>
    </cfRule>
  </conditionalFormatting>
  <conditionalFormatting sqref="J147:AA147">
    <cfRule type="expression" dxfId="12" priority="13">
      <formula>J176&gt;J147</formula>
    </cfRule>
  </conditionalFormatting>
  <conditionalFormatting sqref="D354:Y354 AB354:AI354">
    <cfRule type="expression" dxfId="11" priority="12">
      <formula>D354&lt;&gt;D346</formula>
    </cfRule>
  </conditionalFormatting>
  <conditionalFormatting sqref="D385:Y385">
    <cfRule type="expression" dxfId="10" priority="11">
      <formula>(D385+D386+D387)&lt;&gt;D379</formula>
    </cfRule>
  </conditionalFormatting>
  <conditionalFormatting sqref="D386:Y386">
    <cfRule type="expression" dxfId="9" priority="10">
      <formula>(D385+D386+D387)&lt;&gt;D379</formula>
    </cfRule>
  </conditionalFormatting>
  <conditionalFormatting sqref="D387:Y387">
    <cfRule type="expression" dxfId="8" priority="9">
      <formula>(D385+D386+D387)&lt;&gt;D379</formula>
    </cfRule>
  </conditionalFormatting>
  <conditionalFormatting sqref="D379:AI379">
    <cfRule type="expression" dxfId="7" priority="8">
      <formula>(D385+D386+D387)&lt;&gt;D379</formula>
    </cfRule>
  </conditionalFormatting>
  <conditionalFormatting sqref="AB385:AI386">
    <cfRule type="expression" dxfId="6" priority="5">
      <formula>AB385&gt;SUM(AB381:AB383)</formula>
    </cfRule>
  </conditionalFormatting>
  <conditionalFormatting sqref="AB387:AI387">
    <cfRule type="expression" dxfId="5" priority="4">
      <formula>AB391&gt;AB387</formula>
    </cfRule>
  </conditionalFormatting>
  <conditionalFormatting sqref="AB387:AI387">
    <cfRule type="expression" dxfId="4" priority="6">
      <formula>AB387&gt;SUM(AB381:AB383)</formula>
    </cfRule>
  </conditionalFormatting>
  <conditionalFormatting sqref="AB385:AI386">
    <cfRule type="expression" dxfId="3" priority="7">
      <formula>AB391&gt;AB385</formula>
    </cfRule>
  </conditionalFormatting>
  <conditionalFormatting sqref="AB385:AI385">
    <cfRule type="expression" dxfId="2" priority="3">
      <formula>(AB385+AB386+AB387)&lt;&gt;AB379</formula>
    </cfRule>
  </conditionalFormatting>
  <conditionalFormatting sqref="AB386:AI386">
    <cfRule type="expression" dxfId="1" priority="2">
      <formula>(AB385+AB386+AB387)&lt;&gt;AB379</formula>
    </cfRule>
  </conditionalFormatting>
  <conditionalFormatting sqref="AB387:AI387">
    <cfRule type="expression" dxfId="0" priority="1">
      <formula>(AB385+AB386+AB387)&lt;&gt;AB379</formula>
    </cfRule>
  </conditionalFormatting>
  <dataValidations count="3">
    <dataValidation type="whole" allowBlank="1" showInputMessage="1" showErrorMessage="1" errorTitle="Non-Numeric or abnormal value" error="Enter Numbers only between 0 and 99999" sqref="D8:AI18 AJ128 Z346:AA346 D292:AI324 D408:D420 E414:AI420 G428:Y432 E408:AI412 E248:AI288 E238:AI246 AJ18 AJ238 D238:D288 E392:AI398 E358:Y390 Z379:AI379 AJ11 AJ276 D111:AI120 G427:AI427 D181:AI193 J355:Y357 Z353:AA353 D328:AI342 D434:AI434 D66:AI107 E247:AJ247 AB359:AJ359 E413:AJ413 E391:AJ391 D59:AI62 AA498:AA502 Z390:AA390 D195:AI207 Z49:AA50 D438:Y502 AB438:AI502 Z438:AA438 Z443:AA443 Z448:AA448 Z453:AA453 Z458:AA458 Z463:AA463 Z468:AA468 Z473:AA473 Z478:AA478 Z483:AA483 Z488:Z502 AA488 AA493 D22:Y53 AB22:AI53 Z26:AA26 Z37:AA40 AB346:AI358 G422:Y426 AB422:AI426 AB428:AI432 E355:H357 I356:I357 D124:AI176 D346:D398 D211:AI234 E346:Y354 AB360:AI378 AB380:AI390 D422:F432">
      <formula1>0</formula1>
      <formula2>99999</formula2>
    </dataValidation>
    <dataValidation type="whole" allowBlank="1" showInputMessage="1" showErrorMessage="1" errorTitle="Numeric Characters Error" error="Enter Numeric Characters only between range 0 and 2000" sqref="D402:AI407">
      <formula1>0</formula1>
      <formula2>2000</formula2>
    </dataValidation>
    <dataValidation allowBlank="1" showInputMessage="1" showErrorMessage="1" errorTitle="Non-Numeric or abnormal value" error="Enter Numbers only between 0 and 99999" sqref="Z347:AA352 Z428:AA432 Z51:AA53 Z439:AA442 Z444:AA447 Z449:AA452 Z454:AA457 Z459:AA462 Z464:AA467 Z469:AA472 Z474:AA477 Z479:AA482 Z484:AA487 AA489:AA492 AA494:AA497 Z22:AA25 Z27:AA36 Z41:AA48 Z422:AA426 Z354:AA378 Z380:AA389"/>
  </dataValidations>
  <pageMargins left="0.511811023622047" right="7.8740157480315001E-2" top="0.196850393700787" bottom="0.196850393700787" header="0.2" footer="0.118110236220472"/>
  <pageSetup scale="31" fitToHeight="0" orientation="portrait" r:id="rId1"/>
  <headerFooter>
    <oddFooter>&amp;R&amp;P</oddFooter>
  </headerFooter>
  <rowBreaks count="1" manualBreakCount="1">
    <brk id="207" max="16383" man="1"/>
  </rowBreaks>
  <ignoredErrors>
    <ignoredError sqref="J20 J109 J122 J178 J236 J344 J400 J326 J290" twoDigitTextYear="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27D016-ED29-4335-8911-6427F4BFA81E}">
  <ds:schemaRefs>
    <ds:schemaRef ds:uri="http://schemas.microsoft.com/sharepoint/v3/contenttype/forms"/>
  </ds:schemaRefs>
</ds:datastoreItem>
</file>

<file path=customXml/itemProps2.xml><?xml version="1.0" encoding="utf-8"?>
<ds:datastoreItem xmlns:ds="http://schemas.openxmlformats.org/officeDocument/2006/customXml" ds:itemID="{C9757ECA-E322-4B4F-A80B-F429838D8BF7}">
  <ds:schemaRefs>
    <ds:schemaRef ds:uri="http://purl.org/dc/terms/"/>
    <ds:schemaRef ds:uri="http://www.w3.org/XML/1998/namespace"/>
    <ds:schemaRef ds:uri="http://schemas.microsoft.com/office/infopath/2007/PartnerControls"/>
    <ds:schemaRef ds:uri="http://schemas.microsoft.com/office/2006/documentManagement/types"/>
    <ds:schemaRef ds:uri="1ed6e237-7a44-4d6d-bfbc-e270d277b5ad"/>
    <ds:schemaRef ds:uri="http://schemas.microsoft.com/office/2006/metadata/properties"/>
    <ds:schemaRef ds:uri="http://purl.org/dc/elements/1.1/"/>
    <ds:schemaRef ds:uri="http://schemas.microsoft.com/sharepoint/v3"/>
    <ds:schemaRef ds:uri="dac3fa0a-9923-49c3-b4ba-df6390fa58ea"/>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InstructionsForm1A</vt:lpstr>
      <vt:lpstr>Jul</vt:lpstr>
      <vt:lpstr>ART</vt:lpstr>
      <vt:lpstr>CXCA</vt:lpstr>
      <vt:lpstr>GEND_GBV</vt:lpstr>
      <vt:lpstr>HAART</vt:lpstr>
      <vt:lpstr>HIV_TEST</vt:lpstr>
      <vt:lpstr>HTS_SELF</vt:lpstr>
      <vt:lpstr>IPT</vt:lpstr>
      <vt:lpstr>PMTCT_TST</vt:lpstr>
      <vt:lpstr>PREP</vt:lpstr>
      <vt:lpstr>InstructionsForm1A!Print_Area</vt:lpstr>
      <vt:lpstr>Jul!Print_Area</vt:lpstr>
      <vt:lpstr>Jul!Print_Titles</vt:lpstr>
      <vt:lpstr>TB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Emmanuel Kaunda</cp:lastModifiedBy>
  <cp:lastPrinted>2020-06-04T19:13:43Z</cp:lastPrinted>
  <dcterms:created xsi:type="dcterms:W3CDTF">2018-10-31T09:45:26Z</dcterms:created>
  <dcterms:modified xsi:type="dcterms:W3CDTF">2024-03-06T14:31:33Z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y fmtid="{D5CDD505-2E9C-101B-9397-08002B2CF9AE}" pid="5" name="MSIP_Label_ea60d57e-af5b-4752-ac57-3e4f28ca11dc_Enabled">
    <vt:lpwstr>true</vt:lpwstr>
  </property>
  <property fmtid="{D5CDD505-2E9C-101B-9397-08002B2CF9AE}" pid="6" name="MSIP_Label_ea60d57e-af5b-4752-ac57-3e4f28ca11dc_SetDate">
    <vt:lpwstr>2021-08-26T06:21:48Z</vt:lpwstr>
  </property>
  <property fmtid="{D5CDD505-2E9C-101B-9397-08002B2CF9AE}" pid="7" name="MSIP_Label_ea60d57e-af5b-4752-ac57-3e4f28ca11dc_Method">
    <vt:lpwstr>Standard</vt:lpwstr>
  </property>
  <property fmtid="{D5CDD505-2E9C-101B-9397-08002B2CF9AE}" pid="8" name="MSIP_Label_ea60d57e-af5b-4752-ac57-3e4f28ca11dc_Name">
    <vt:lpwstr>ea60d57e-af5b-4752-ac57-3e4f28ca11dc</vt:lpwstr>
  </property>
  <property fmtid="{D5CDD505-2E9C-101B-9397-08002B2CF9AE}" pid="9" name="MSIP_Label_ea60d57e-af5b-4752-ac57-3e4f28ca11dc_SiteId">
    <vt:lpwstr>36da45f1-dd2c-4d1f-af13-5abe46b99921</vt:lpwstr>
  </property>
  <property fmtid="{D5CDD505-2E9C-101B-9397-08002B2CF9AE}" pid="10" name="MSIP_Label_ea60d57e-af5b-4752-ac57-3e4f28ca11dc_ActionId">
    <vt:lpwstr>53bd1c79-e735-4871-8540-e453fe37e373</vt:lpwstr>
  </property>
  <property fmtid="{D5CDD505-2E9C-101B-9397-08002B2CF9AE}" pid="11" name="MSIP_Label_ea60d57e-af5b-4752-ac57-3e4f28ca11dc_ContentBits">
    <vt:lpwstr>0</vt:lpwstr>
  </property>
</Properties>
</file>